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1" i="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V1470"/>
  <c r="U1470"/>
  <c r="U1469"/>
  <c r="U1468"/>
  <c r="V1467"/>
  <c r="U1467"/>
  <c r="V1466"/>
  <c r="U1466"/>
  <c r="V1465"/>
  <c r="U1465"/>
  <c r="V1464"/>
  <c r="U1464"/>
  <c r="V1463"/>
  <c r="U1463"/>
  <c r="V1462"/>
  <c r="U1462"/>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V1437"/>
  <c r="U1437"/>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5"/>
  <c r="U1405"/>
  <c r="V1403"/>
  <c r="U1403"/>
  <c r="V1402"/>
  <c r="V1401"/>
  <c r="U1401"/>
  <c r="V1400"/>
  <c r="V1399"/>
  <c r="U1399"/>
  <c r="V1398"/>
  <c r="U1398"/>
  <c r="V1397"/>
  <c r="U1397"/>
  <c r="V1396"/>
  <c r="U1396"/>
  <c r="V1395"/>
  <c r="U1395"/>
  <c r="V1394"/>
  <c r="U1394"/>
  <c r="U1393"/>
  <c r="V1392"/>
  <c r="U1392"/>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V1361"/>
  <c r="U1361"/>
  <c r="V1360"/>
  <c r="U1360"/>
  <c r="V1359"/>
  <c r="U1359"/>
  <c r="V1358"/>
  <c r="U1358"/>
  <c r="V1357"/>
  <c r="U1357"/>
  <c r="V1356"/>
  <c r="U1356"/>
  <c r="V1355"/>
  <c r="U1355"/>
  <c r="V1354"/>
  <c r="U1354"/>
  <c r="V1353"/>
  <c r="U1353"/>
  <c r="V1352"/>
  <c r="U1352"/>
  <c r="V1351"/>
  <c r="U1351"/>
  <c r="V1350"/>
  <c r="U1350"/>
  <c r="V1349"/>
  <c r="U1349"/>
  <c r="V1348"/>
  <c r="U1348"/>
  <c r="V1347"/>
  <c r="U1347"/>
  <c r="V1346"/>
  <c r="U1346"/>
  <c r="U1345"/>
  <c r="V1344"/>
  <c r="U1344"/>
  <c r="V1343"/>
  <c r="U1343"/>
  <c r="V1342"/>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V1322"/>
  <c r="U1322"/>
  <c r="V1321"/>
  <c r="U1321"/>
  <c r="V1320"/>
  <c r="U1320"/>
  <c r="V1319"/>
  <c r="U1319"/>
  <c r="V1318"/>
  <c r="U1318"/>
  <c r="V1317"/>
  <c r="U1317"/>
  <c r="V1316"/>
  <c r="U1316"/>
  <c r="U1315"/>
  <c r="V1314"/>
  <c r="U1314"/>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U1271"/>
  <c r="V1270"/>
  <c r="U1270"/>
  <c r="V1269"/>
  <c r="U1269"/>
  <c r="V1268"/>
  <c r="U1268"/>
  <c r="V1267"/>
  <c r="U1267"/>
  <c r="V1266"/>
  <c r="U1266"/>
  <c r="V1265"/>
  <c r="U1265"/>
  <c r="V1264"/>
  <c r="U1264"/>
  <c r="V1263"/>
  <c r="U1263"/>
  <c r="V1262"/>
  <c r="U1262"/>
  <c r="V1261"/>
  <c r="U1261"/>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U1038"/>
  <c r="V1037"/>
  <c r="U1037"/>
  <c r="U1036"/>
  <c r="V1035"/>
  <c r="U1035"/>
  <c r="V1034"/>
  <c r="U1034"/>
  <c r="U1033"/>
  <c r="V1032"/>
  <c r="U1032"/>
  <c r="V1031"/>
  <c r="U1031"/>
  <c r="V1030"/>
  <c r="U1030"/>
  <c r="V1029"/>
  <c r="U1029"/>
  <c r="V1028"/>
  <c r="U1028"/>
  <c r="V1027"/>
  <c r="U1027"/>
  <c r="V1026"/>
  <c r="U1026"/>
  <c r="V1025"/>
  <c r="U1025"/>
  <c r="V1024"/>
  <c r="U1024"/>
  <c r="V1023"/>
  <c r="U1023"/>
  <c r="V1022"/>
  <c r="U1022"/>
  <c r="V1021"/>
  <c r="U1021"/>
  <c r="V1020"/>
  <c r="U1020"/>
  <c r="U1019"/>
  <c r="V1018"/>
  <c r="U1018"/>
  <c r="V1017"/>
  <c r="U1017"/>
  <c r="V1016"/>
  <c r="U1016"/>
  <c r="V1015"/>
  <c r="U1015"/>
  <c r="V1014"/>
  <c r="U1014"/>
  <c r="V1013"/>
  <c r="U1013"/>
  <c r="V1012"/>
  <c r="U1012"/>
  <c r="V1011"/>
  <c r="U1011"/>
  <c r="V1010"/>
  <c r="U1010"/>
  <c r="V1009"/>
  <c r="U1009"/>
  <c r="V1008"/>
  <c r="U1008"/>
  <c r="V1007"/>
  <c r="U1007"/>
  <c r="V1006"/>
  <c r="V1005"/>
  <c r="U1005"/>
  <c r="V1004"/>
  <c r="U1004"/>
  <c r="V1003"/>
  <c r="U1003"/>
  <c r="V1002"/>
  <c r="U1002"/>
  <c r="V1001"/>
  <c r="U1001"/>
  <c r="V1000"/>
  <c r="U1000"/>
  <c r="V999"/>
  <c r="U999"/>
  <c r="U998"/>
  <c r="V997"/>
  <c r="U997"/>
  <c r="U996"/>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U971"/>
  <c r="U970"/>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V938"/>
  <c r="U938"/>
  <c r="V937"/>
  <c r="U937"/>
  <c r="V936"/>
  <c r="U936"/>
  <c r="V935"/>
  <c r="U935"/>
  <c r="V934"/>
  <c r="U934"/>
  <c r="V933"/>
  <c r="U933"/>
  <c r="V932"/>
  <c r="U932"/>
  <c r="V931"/>
  <c r="U931"/>
  <c r="V930"/>
  <c r="U930"/>
  <c r="V929"/>
  <c r="U929"/>
  <c r="V928"/>
  <c r="U928"/>
  <c r="V927"/>
  <c r="U927"/>
  <c r="V926"/>
  <c r="V925"/>
  <c r="U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U906"/>
  <c r="V905"/>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U885"/>
  <c r="V884"/>
  <c r="U884"/>
  <c r="V883"/>
  <c r="U883"/>
  <c r="V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7"/>
  <c r="U847"/>
  <c r="V846"/>
  <c r="U846"/>
  <c r="V845"/>
  <c r="U845"/>
  <c r="V844"/>
  <c r="U844"/>
  <c r="V843"/>
  <c r="U843"/>
  <c r="V842"/>
  <c r="U842"/>
  <c r="V841"/>
  <c r="U841"/>
  <c r="V840"/>
  <c r="U840"/>
  <c r="V839"/>
  <c r="U839"/>
  <c r="V838"/>
  <c r="U838"/>
  <c r="V837"/>
  <c r="U837"/>
  <c r="V836"/>
  <c r="U836"/>
  <c r="V835"/>
  <c r="U835"/>
  <c r="V834"/>
  <c r="U834"/>
  <c r="V833"/>
  <c r="U833"/>
  <c r="V832"/>
  <c r="U832"/>
  <c r="V831"/>
  <c r="U831"/>
  <c r="U830"/>
  <c r="V829"/>
  <c r="U829"/>
  <c r="V828"/>
  <c r="U828"/>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U749"/>
  <c r="V748"/>
  <c r="U748"/>
  <c r="U747"/>
  <c r="U746"/>
  <c r="V745"/>
  <c r="U745"/>
  <c r="V744"/>
  <c r="U744"/>
  <c r="V743"/>
  <c r="U743"/>
  <c r="V742"/>
  <c r="U742"/>
  <c r="V741"/>
  <c r="U741"/>
  <c r="V740"/>
  <c r="U740"/>
  <c r="V739"/>
  <c r="U739"/>
  <c r="V738"/>
  <c r="U738"/>
  <c r="V737"/>
  <c r="U737"/>
  <c r="V736"/>
  <c r="U736"/>
  <c r="U735"/>
  <c r="U734"/>
  <c r="V733"/>
  <c r="U733"/>
  <c r="V732"/>
  <c r="U732"/>
  <c r="V731"/>
  <c r="U731"/>
  <c r="V730"/>
  <c r="U730"/>
  <c r="V729"/>
  <c r="U729"/>
  <c r="V728"/>
  <c r="U728"/>
  <c r="U727"/>
  <c r="V726"/>
  <c r="U726"/>
  <c r="V725"/>
  <c r="U725"/>
  <c r="V724"/>
  <c r="U724"/>
  <c r="V723"/>
  <c r="U723"/>
  <c r="V722"/>
  <c r="U722"/>
  <c r="V721"/>
  <c r="U721"/>
  <c r="V720"/>
  <c r="U720"/>
  <c r="V719"/>
  <c r="U719"/>
  <c r="V718"/>
  <c r="U718"/>
  <c r="V717"/>
  <c r="U717"/>
  <c r="V716"/>
  <c r="U716"/>
  <c r="V715"/>
  <c r="U715"/>
  <c r="V714"/>
  <c r="U714"/>
  <c r="V713"/>
  <c r="U713"/>
  <c r="V712"/>
  <c r="U712"/>
  <c r="V711"/>
  <c r="U711"/>
  <c r="V710"/>
  <c r="U710"/>
  <c r="U709"/>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<sst xmlns="http://schemas.openxmlformats.org/spreadsheetml/2006/main" count="22440" uniqueCount="8459">
  <si>
    <t>ИНФРА-М Научно-издательский Центр</t>
  </si>
  <si>
    <t>15. Юриспруденция (для организаций)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</si>
  <si>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</si>
  <si>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</si>
  <si>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</si>
  <si>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</si>
  <si>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</si>
  <si>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</si>
  <si>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</si>
  <si>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</si>
  <si>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</si>
  <si>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</si>
  <si>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</si>
  <si>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</si>
  <si>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</si>
  <si>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</si>
  <si>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</si>
  <si>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</si>
  <si>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</si>
  <si>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</si>
  <si>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</si>
  <si>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</si>
  <si>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</si>
  <si>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</si>
  <si>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</si>
  <si>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</si>
  <si>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</si>
  <si>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</si>
  <si>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</si>
  <si>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</si>
  <si>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</si>
  <si>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</si>
  <si>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</si>
  <si>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</si>
  <si>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</si>
  <si>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</si>
  <si>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</si>
  <si>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</si>
  <si>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</si>
  <si>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</si>
  <si>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</si>
  <si>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</si>
  <si>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</si>
  <si>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</si>
  <si>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</si>
  <si>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</si>
  <si>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</si>
  <si>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</si>
  <si>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</si>
  <si>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</si>
  <si>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</si>
  <si>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</si>
  <si>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</si>
  <si>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</si>
  <si>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</si>
  <si>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</si>
  <si>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</si>
  <si>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</si>
  <si>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</si>
  <si>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</si>
  <si>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</si>
  <si>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</si>
  <si>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</si>
  <si>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</si>
  <si>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</si>
  <si>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</si>
  <si>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</si>
  <si>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</si>
  <si>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</si>
  <si>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</si>
  <si>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</si>
  <si>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</si>
  <si>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</si>
  <si>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</si>
  <si>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</si>
  <si>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</si>
  <si>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</si>
  <si>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</si>
  <si>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</si>
  <si>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</si>
  <si>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</si>
  <si>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</si>
  <si>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</si>
  <si>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</si>
  <si>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</si>
  <si>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</si>
  <si>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</si>
  <si>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</si>
  <si>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</si>
  <si>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</si>
  <si>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</si>
  <si>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</si>
  <si>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</si>
  <si>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</si>
  <si>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</si>
  <si>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</si>
  <si>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</si>
  <si>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</si>
  <si>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</si>
  <si>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</si>
  <si>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</si>
  <si>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</si>
  <si>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</si>
  <si>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</si>
  <si>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</si>
  <si>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</si>
  <si>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</si>
  <si>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</si>
  <si>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</si>
  <si>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</si>
  <si>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</si>
  <si>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</si>
  <si>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</si>
  <si>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</si>
  <si>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</si>
  <si>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</si>
  <si>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</si>
  <si>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</si>
  <si>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</si>
  <si>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</si>
  <si>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</si>
  <si>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</si>
  <si>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</si>
  <si>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</si>
  <si>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</si>
  <si>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</si>
  <si>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</si>
  <si>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</si>
  <si>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</si>
  <si>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</si>
  <si>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</si>
  <si>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</si>
  <si>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</si>
  <si>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</si>
  <si>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</si>
  <si>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</si>
  <si>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</si>
  <si>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</si>
  <si>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</si>
  <si>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</si>
  <si>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</si>
  <si>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</si>
  <si>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</si>
  <si>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</si>
  <si>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</si>
  <si>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</si>
  <si>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</si>
  <si>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</si>
  <si>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</si>
  <si>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</si>
  <si>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</si>
  <si>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</si>
  <si>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</si>
  <si>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</si>
  <si>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</si>
  <si>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</si>
  <si>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</si>
  <si>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</si>
  <si>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</si>
  <si>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</si>
  <si>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</si>
  <si>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</si>
  <si>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</si>
  <si>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</si>
  <si>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</si>
  <si>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</si>
  <si>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</si>
  <si>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</si>
  <si>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</si>
  <si>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</si>
  <si>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</si>
  <si>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</si>
  <si>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</si>
  <si>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</si>
  <si>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</si>
  <si>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</si>
  <si>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</si>
  <si>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</si>
  <si>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</si>
  <si>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</si>
  <si>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</si>
  <si>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</si>
  <si>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</si>
  <si>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</si>
  <si>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</si>
  <si>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</si>
  <si>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</si>
  <si>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</si>
  <si>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</si>
  <si>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</si>
  <si>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</si>
  <si>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</si>
  <si>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</si>
  <si>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</si>
  <si>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</si>
  <si>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</si>
  <si>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</si>
  <si>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</si>
  <si>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</si>
  <si>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</si>
  <si>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</si>
  <si>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</si>
  <si>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</si>
  <si>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</si>
  <si>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</si>
  <si>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</si>
  <si>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</si>
  <si>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</si>
  <si>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</si>
  <si>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</si>
  <si>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</si>
  <si>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</si>
  <si>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</si>
  <si>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</si>
  <si>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</si>
  <si>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</si>
  <si>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</si>
  <si>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</si>
  <si>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</si>
  <si>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</si>
  <si>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</si>
  <si>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</si>
  <si>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</si>
  <si>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</si>
  <si>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</si>
  <si>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</si>
  <si>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</si>
  <si>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</si>
  <si>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</si>
  <si>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</si>
  <si>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</si>
  <si>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</si>
  <si>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</si>
  <si>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</si>
  <si>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</si>
  <si>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</si>
  <si>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</si>
  <si>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</si>
  <si>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</si>
  <si>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</si>
  <si>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</si>
  <si>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</si>
  <si>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</si>
  <si>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</si>
  <si>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</si>
  <si>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</si>
  <si>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</si>
  <si>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</si>
  <si>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</si>
  <si>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</si>
  <si>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</si>
  <si>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</si>
  <si>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</si>
  <si>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</si>
  <si>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</si>
  <si>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</si>
  <si>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</si>
  <si>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</si>
  <si>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</si>
  <si>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</si>
  <si>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</si>
  <si>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</si>
  <si>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</si>
  <si>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</si>
  <si>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</si>
  <si>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</si>
  <si>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</si>
  <si>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</si>
  <si>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</si>
  <si>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</si>
  <si>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</si>
  <si>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</si>
  <si>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</si>
  <si>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</si>
  <si>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</si>
  <si>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</si>
  <si>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</si>
  <si>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</si>
  <si>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</si>
  <si>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</si>
  <si>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</si>
  <si>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</si>
  <si>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</si>
  <si>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</si>
  <si>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</si>
  <si>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</si>
  <si>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</si>
  <si>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</si>
  <si>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</si>
  <si>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</si>
  <si>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</si>
  <si>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</si>
  <si>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</si>
  <si>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</si>
  <si>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</si>
  <si>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</si>
  <si>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</si>
  <si>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</si>
  <si>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</si>
  <si>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</si>
  <si>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</si>
  <si>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</si>
  <si>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</si>
  <si>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</si>
  <si>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</si>
  <si>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</si>
  <si>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</si>
  <si>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</si>
  <si>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</si>
  <si>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</si>
  <si>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</si>
  <si>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</si>
  <si>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</si>
  <si>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</si>
  <si>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</si>
  <si>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</si>
  <si>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</si>
  <si>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</si>
  <si>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</si>
  <si>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</si>
  <si>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</si>
  <si>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</si>
  <si>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</si>
  <si>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</si>
  <si>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</si>
  <si>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</si>
  <si>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</si>
  <si>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</si>
  <si>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</si>
  <si>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</si>
  <si>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</si>
  <si>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</si>
  <si>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</si>
  <si>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</si>
  <si>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</si>
  <si>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</si>
  <si>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</si>
  <si>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</si>
  <si>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</si>
  <si>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</si>
  <si>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</si>
  <si>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</si>
  <si>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</si>
  <si>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</si>
  <si>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</si>
  <si>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</si>
  <si>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</si>
  <si>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</si>
  <si>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</si>
  <si>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</si>
  <si>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</si>
  <si>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</si>
  <si>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</si>
  <si>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</si>
  <si>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</si>
  <si>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</si>
  <si>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</si>
  <si>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</si>
  <si>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</si>
  <si>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</si>
  <si>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</si>
  <si>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</si>
  <si>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</si>
  <si>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</si>
  <si>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</si>
  <si>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</si>
  <si>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</si>
  <si>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</si>
  <si>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</si>
  <si>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</si>
  <si>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</si>
  <si>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</si>
  <si>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</si>
  <si>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</si>
  <si>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</si>
  <si>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</si>
  <si>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</si>
  <si>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</si>
  <si>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</si>
  <si>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</si>
  <si>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</si>
  <si>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</si>
  <si>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</si>
  <si>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</si>
  <si>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</si>
  <si>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</si>
  <si>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</si>
  <si>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</si>
  <si>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</si>
  <si>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</si>
  <si>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</si>
  <si>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</si>
  <si>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</si>
  <si>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</si>
  <si>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</si>
  <si>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</si>
  <si>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</si>
  <si>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</si>
  <si>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</si>
  <si>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</si>
  <si>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</si>
  <si>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</si>
  <si>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</si>
  <si>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</si>
  <si>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</si>
  <si>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</si>
  <si>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</si>
  <si>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</si>
  <si>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</si>
  <si>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</si>
  <si>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</si>
  <si>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</si>
  <si>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</si>
  <si>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</si>
  <si>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</si>
  <si>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</si>
  <si>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</si>
  <si>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</si>
  <si>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</si>
  <si>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</si>
  <si>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</si>
  <si>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</si>
  <si>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</si>
  <si>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</si>
  <si>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</si>
  <si>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</si>
  <si>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</si>
  <si>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</si>
  <si>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</si>
  <si>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</si>
  <si>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</si>
  <si>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</si>
  <si>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</si>
  <si>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</si>
  <si>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</si>
  <si>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</si>
  <si>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</si>
  <si>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</si>
  <si>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</si>
  <si>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</si>
  <si>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</si>
  <si>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</si>
  <si>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</si>
  <si>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</si>
  <si>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</si>
  <si>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</si>
  <si>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</si>
  <si>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</si>
  <si>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</si>
  <si>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</si>
  <si>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</si>
  <si>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</si>
  <si>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</si>
  <si>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</si>
  <si>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</si>
  <si>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</si>
  <si>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</si>
  <si>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</si>
  <si>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</si>
  <si>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</si>
  <si>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</si>
  <si>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</si>
  <si>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</si>
  <si>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</si>
  <si>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</si>
  <si>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</si>
  <si>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</si>
  <si>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</si>
  <si>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</si>
  <si>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</si>
  <si>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</si>
  <si>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</si>
  <si>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</si>
  <si>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</si>
  <si>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</si>
  <si>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</si>
  <si>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</si>
  <si>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</si>
  <si>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</si>
  <si>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</si>
  <si>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</si>
  <si>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</si>
  <si>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</si>
  <si>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</si>
  <si>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</si>
  <si>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</si>
  <si>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</si>
  <si>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</si>
  <si>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</si>
  <si>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</si>
  <si>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</si>
  <si>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</si>
  <si>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</si>
  <si>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</si>
  <si>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</si>
  <si>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</si>
  <si>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</si>
  <si>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</si>
  <si>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</si>
  <si>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</si>
  <si>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</si>
  <si>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</si>
  <si>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</si>
  <si>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</si>
  <si>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</si>
  <si>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</si>
  <si>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</si>
  <si>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</si>
  <si>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</si>
  <si>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</si>
  <si>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</si>
  <si>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</si>
  <si>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</si>
  <si>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</si>
  <si>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</si>
  <si>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</si>
  <si>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</si>
  <si>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</si>
  <si>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</si>
  <si>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</si>
  <si>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</si>
  <si>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</si>
  <si>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</si>
  <si>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</si>
  <si>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</si>
  <si>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</si>
  <si>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</si>
  <si>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</si>
  <si>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</si>
  <si>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</si>
  <si>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</si>
  <si>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</si>
  <si>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</si>
  <si>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</si>
  <si>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</si>
  <si>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</si>
  <si>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</si>
  <si>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</si>
  <si>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</si>
  <si>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</si>
  <si>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</si>
  <si>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</si>
  <si>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</si>
  <si>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</si>
  <si>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</si>
  <si>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</si>
  <si>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</si>
  <si>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</si>
  <si>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</si>
  <si>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</si>
  <si>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</si>
  <si>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</si>
  <si>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</si>
  <si>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</si>
  <si>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</si>
  <si>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</si>
  <si>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</si>
  <si>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</si>
  <si>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</si>
  <si>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</si>
  <si>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</si>
  <si>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</si>
  <si>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</si>
  <si>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</si>
  <si>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</si>
  <si>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</si>
  <si>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</si>
  <si>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</si>
  <si>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</si>
  <si>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</si>
  <si>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</si>
  <si>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</si>
  <si>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</si>
  <si>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</si>
  <si>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</si>
  <si>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</si>
  <si>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</si>
  <si>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</si>
  <si>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</si>
  <si>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</si>
  <si>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</si>
  <si>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</si>
  <si>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</si>
  <si>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</si>
  <si>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</si>
  <si>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</si>
  <si>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</si>
  <si>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</si>
  <si>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</si>
  <si>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</si>
  <si>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</si>
  <si>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</si>
  <si>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</si>
  <si>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</si>
  <si>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</si>
  <si>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</si>
  <si>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</si>
  <si>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</si>
  <si>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</si>
  <si>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</si>
  <si>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</si>
  <si>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</si>
  <si>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</si>
  <si>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</si>
  <si>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</si>
  <si>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</si>
  <si>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</si>
  <si>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</si>
  <si>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</si>
  <si>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</si>
  <si>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</si>
  <si>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</si>
  <si>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</si>
  <si>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</si>
  <si>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</si>
  <si>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</si>
  <si>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</si>
  <si>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</si>
  <si>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</si>
  <si>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</si>
  <si>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</si>
  <si>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</si>
  <si>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</si>
  <si>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</si>
  <si>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</si>
  <si>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</si>
  <si>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</si>
  <si>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</si>
  <si>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</si>
  <si>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</si>
  <si>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</si>
  <si>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</si>
  <si>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</si>
  <si>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</si>
  <si>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</si>
  <si>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</si>
  <si>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</si>
  <si>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</si>
  <si>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</si>
  <si>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</si>
  <si>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</si>
  <si>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</si>
  <si>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</si>
  <si>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</si>
  <si>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</si>
  <si>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</si>
  <si>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</si>
  <si>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</si>
  <si>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</si>
  <si>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</si>
  <si>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</si>
  <si>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</si>
  <si>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</si>
  <si>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</si>
  <si>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</si>
  <si>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</si>
  <si>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</si>
  <si>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</si>
  <si>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</si>
  <si>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</si>
  <si>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</si>
  <si>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</si>
  <si>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</si>
  <si>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</si>
  <si>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</si>
  <si>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</si>
  <si>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</si>
  <si>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</si>
  <si>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</si>
  <si>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</si>
  <si>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</si>
  <si>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</si>
  <si>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</si>
  <si>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</si>
  <si>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</si>
  <si>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</si>
  <si>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</si>
  <si>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</si>
  <si>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</si>
  <si>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</si>
  <si>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</si>
  <si>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</si>
  <si>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</si>
  <si>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</si>
  <si>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</si>
  <si>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</si>
  <si>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</si>
  <si>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</si>
  <si>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</si>
  <si>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</si>
  <si>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</si>
  <si>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</si>
  <si>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</si>
  <si>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</si>
  <si>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</si>
  <si>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</si>
  <si>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</si>
  <si>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</si>
  <si>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</si>
  <si>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</si>
  <si>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</si>
  <si>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</si>
  <si>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</si>
  <si>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</si>
  <si>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</si>
  <si>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</si>
  <si>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</si>
  <si>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</si>
  <si>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</si>
  <si>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</si>
  <si>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</si>
  <si>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</si>
  <si>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</si>
  <si>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</si>
  <si>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</si>
  <si>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</si>
  <si>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</si>
  <si>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</si>
  <si>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</si>
  <si>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</si>
  <si>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</si>
  <si>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</si>
  <si>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</si>
  <si>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</si>
  <si>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</si>
  <si>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</si>
  <si>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</si>
  <si>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</si>
  <si>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</si>
  <si>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</si>
  <si>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</si>
  <si>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</si>
  <si>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</si>
  <si>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</si>
  <si>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</si>
  <si>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</si>
  <si>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</si>
  <si>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</si>
  <si>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</si>
  <si>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</si>
  <si>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</si>
  <si>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</si>
  <si>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</si>
  <si>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</si>
  <si>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</si>
  <si>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</si>
  <si>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</si>
  <si>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</si>
  <si>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</si>
  <si>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</si>
  <si>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</si>
  <si>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</si>
  <si>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</si>
  <si>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</si>
  <si>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</si>
  <si>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</si>
  <si>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</si>
  <si>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</si>
  <si>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</si>
  <si>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</si>
  <si>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</si>
  <si>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</si>
  <si>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</si>
  <si>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</si>
  <si>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</si>
  <si>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</si>
  <si>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</si>
  <si>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</si>
  <si>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</si>
  <si>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</si>
  <si>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</si>
  <si>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</si>
  <si>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</si>
  <si>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</si>
  <si>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</si>
  <si>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</si>
  <si>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</si>
  <si>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</si>
  <si>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</si>
  <si>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</si>
  <si>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</si>
  <si>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</si>
  <si>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</si>
  <si>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</si>
  <si>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</si>
  <si>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</si>
  <si>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</si>
  <si>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</si>
  <si>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</si>
  <si>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</si>
  <si>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</si>
  <si>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</si>
  <si>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</si>
  <si>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</si>
  <si>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</si>
  <si>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</si>
  <si>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</si>
  <si>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</si>
  <si>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</si>
  <si>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</si>
  <si>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</si>
  <si>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</si>
  <si>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</si>
  <si>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</si>
  <si>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</si>
  <si>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</si>
  <si>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</si>
  <si>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</si>
  <si>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</si>
  <si>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</si>
  <si>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</si>
  <si>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</si>
  <si>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</si>
  <si>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</si>
  <si>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</si>
  <si>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</si>
  <si>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</si>
  <si>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</si>
  <si>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</si>
  <si>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</si>
  <si>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</si>
  <si>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</si>
  <si>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</si>
  <si>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</si>
  <si>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</si>
  <si>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</si>
  <si>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</si>
  <si>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</si>
  <si>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</si>
  <si>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</si>
  <si>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</si>
  <si>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</si>
  <si>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</si>
  <si>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</si>
  <si>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</si>
  <si>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</si>
  <si>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</si>
  <si>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</si>
  <si>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</si>
  <si>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</si>
  <si>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</si>
  <si>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</si>
  <si>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</si>
  <si>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</si>
  <si>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</si>
  <si>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</si>
  <si>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</si>
  <si>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</si>
  <si>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</si>
  <si>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</si>
  <si>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</si>
  <si>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</si>
  <si>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</si>
  <si>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</si>
  <si>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</si>
  <si>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</si>
  <si>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</si>
  <si>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</si>
  <si>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</si>
  <si>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</si>
  <si>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</si>
  <si>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</si>
  <si>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</si>
  <si>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</si>
  <si>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</si>
  <si>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</si>
  <si>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</si>
  <si>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</si>
  <si>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</si>
  <si>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</si>
  <si>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</si>
  <si>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</si>
  <si>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</si>
  <si>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</si>
  <si>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</si>
  <si>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</si>
  <si>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</si>
  <si>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</si>
  <si>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</si>
  <si>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</si>
  <si>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</si>
  <si>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</si>
  <si>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</si>
  <si>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</si>
  <si>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</si>
  <si>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</si>
  <si>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</si>
  <si>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</si>
  <si>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</si>
  <si>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</si>
  <si>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</si>
  <si>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</si>
  <si>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</si>
  <si>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</si>
  <si>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</si>
  <si>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</si>
  <si>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</si>
  <si>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</si>
  <si>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</si>
  <si>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</si>
  <si>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</si>
  <si>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</si>
  <si>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</si>
  <si>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</si>
  <si>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</si>
  <si>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</si>
  <si>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</si>
  <si>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</si>
  <si>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</si>
  <si>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</si>
  <si>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</si>
  <si>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</si>
  <si>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</si>
  <si>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</si>
  <si>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</si>
  <si>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</si>
  <si>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</si>
  <si>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</si>
  <si>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</si>
  <si>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</si>
  <si>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</si>
  <si>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</si>
  <si>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</si>
  <si>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</si>
  <si>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</si>
  <si>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</si>
  <si>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</si>
  <si>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</si>
  <si>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</si>
  <si>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</si>
  <si>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</si>
  <si>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</si>
  <si>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</si>
  <si>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</si>
  <si>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</si>
  <si>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</si>
  <si>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</si>
  <si>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</si>
  <si>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</si>
  <si>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</si>
  <si>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</si>
  <si>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</si>
  <si>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</si>
  <si>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</si>
  <si>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</si>
  <si>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</si>
  <si>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</si>
  <si>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</si>
  <si>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</si>
  <si>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</si>
  <si>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</si>
  <si>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</si>
  <si>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</si>
  <si>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</si>
  <si>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</si>
  <si>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</si>
  <si>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</si>
  <si>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</si>
  <si>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</si>
  <si>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</si>
  <si>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</si>
  <si>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</si>
  <si>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</si>
  <si>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</si>
  <si>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</si>
  <si>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</si>
  <si>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</si>
  <si>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</si>
  <si>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</si>
  <si>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</si>
  <si>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</si>
  <si>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</si>
  <si>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</si>
  <si>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</si>
  <si>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</si>
  <si>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</si>
  <si>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</si>
  <si>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</si>
  <si>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</si>
  <si>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</si>
  <si>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</si>
  <si>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</si>
  <si>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</si>
  <si>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</si>
  <si>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</si>
  <si>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</si>
  <si>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</si>
  <si>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</si>
  <si>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</si>
  <si>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</si>
  <si>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</si>
  <si>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</si>
  <si>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</si>
  <si>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</si>
  <si>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</si>
  <si>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</si>
  <si>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</si>
  <si>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</si>
  <si>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</si>
  <si>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</si>
  <si>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</si>
  <si>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</si>
  <si>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</si>
  <si>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</si>
  <si>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</si>
  <si>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</si>
  <si>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</si>
  <si>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</si>
  <si>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</si>
  <si>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</si>
  <si>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</si>
  <si>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</si>
  <si>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</si>
  <si>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</si>
  <si>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</si>
  <si>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</si>
  <si>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</si>
  <si>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</si>
  <si>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</si>
  <si>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</si>
  <si>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</si>
  <si>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</si>
  <si>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</si>
  <si>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</si>
  <si>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</si>
  <si>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</si>
  <si>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</si>
  <si>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</si>
  <si>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</si>
  <si>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</si>
  <si>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</si>
  <si>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</si>
  <si>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</si>
  <si>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</si>
  <si>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</si>
  <si>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</si>
  <si>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</si>
  <si>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</si>
  <si>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</si>
  <si>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</si>
  <si>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</si>
  <si>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</si>
  <si>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</si>
  <si>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</si>
  <si>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</si>
  <si>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</si>
  <si>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</si>
  <si>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</si>
  <si>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</si>
  <si>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</si>
  <si>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</si>
  <si>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</si>
  <si>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</si>
  <si>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</si>
  <si>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</si>
  <si>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</si>
  <si>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</si>
  <si>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</si>
  <si>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</si>
  <si>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</si>
  <si>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</si>
  <si>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</si>
  <si>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</si>
  <si>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</si>
  <si>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</si>
  <si>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</si>
  <si>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</si>
  <si>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</si>
  <si>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</si>
  <si>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</si>
  <si>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</si>
  <si>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</si>
  <si>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</si>
  <si>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</si>
  <si>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</si>
  <si>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</si>
  <si>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</si>
  <si>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</si>
  <si>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</si>
  <si>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</si>
  <si>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</si>
  <si>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</si>
  <si>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</si>
  <si>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</si>
  <si>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</si>
  <si>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</si>
  <si>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</si>
  <si>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</si>
  <si>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</si>
  <si>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</si>
  <si>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</si>
  <si>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</si>
  <si>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</si>
  <si>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</si>
  <si>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</si>
  <si>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</si>
  <si>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</si>
  <si>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</si>
  <si>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</si>
  <si>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</si>
  <si>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</si>
  <si>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</si>
  <si>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</si>
  <si>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</si>
  <si>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</si>
  <si>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</si>
  <si>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</si>
  <si>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</si>
  <si>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</si>
  <si>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</si>
  <si>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</si>
  <si>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</si>
  <si>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</si>
  <si>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</si>
  <si>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</si>
  <si>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</si>
  <si>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</si>
  <si>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</si>
  <si>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</si>
  <si>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</si>
  <si>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</si>
  <si>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</si>
  <si>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</si>
  <si>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</si>
  <si>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</si>
  <si>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</si>
  <si>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</si>
  <si>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</si>
  <si>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</si>
  <si>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</si>
  <si>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</si>
  <si>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</si>
  <si>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</si>
  <si>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</si>
  <si>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</si>
  <si>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</si>
  <si>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</si>
  <si>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</si>
  <si>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</si>
  <si>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</si>
  <si>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</si>
  <si>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</si>
  <si>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</si>
  <si>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</si>
  <si>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</si>
  <si>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</si>
  <si>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</si>
  <si>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</si>
  <si>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</si>
  <si>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</si>
  <si>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</si>
  <si>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</si>
  <si>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</si>
  <si>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</si>
  <si>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</si>
  <si>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</si>
  <si>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</si>
  <si>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</si>
  <si>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</si>
  <si>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</si>
  <si>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</si>
  <si>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</si>
  <si>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</si>
  <si>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</si>
  <si>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</si>
  <si>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</si>
  <si>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</si>
  <si>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</si>
  <si>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</si>
  <si>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</si>
  <si>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</si>
  <si>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</si>
  <si>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</si>
  <si>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</si>
  <si>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</si>
  <si>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</si>
  <si>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</si>
  <si>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</si>
  <si>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</si>
  <si>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</si>
  <si>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</si>
  <si>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</si>
  <si>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</si>
  <si>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</si>
  <si>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</si>
  <si>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</si>
  <si>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</si>
  <si>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</si>
  <si>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</si>
  <si>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</si>
  <si>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</si>
  <si>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</si>
  <si>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</si>
  <si>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</si>
  <si>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</si>
  <si>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</si>
  <si>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</si>
  <si>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</si>
  <si>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</si>
  <si>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</si>
  <si>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</si>
  <si>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</si>
  <si>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</si>
  <si>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</si>
  <si>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</si>
  <si>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</si>
  <si>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</si>
  <si>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</si>
  <si>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</si>
  <si>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</si>
  <si>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</si>
  <si>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</si>
  <si>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</si>
  <si>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</si>
  <si>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</si>
  <si>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</si>
  <si>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</si>
  <si>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</si>
  <si>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</si>
  <si>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</si>
  <si>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</si>
  <si>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</si>
  <si>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</si>
  <si>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</si>
  <si>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</si>
  <si>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</si>
  <si>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</si>
  <si>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</si>
  <si>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</si>
  <si>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</si>
  <si>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</si>
  <si>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</si>
  <si>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</si>
  <si>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</si>
  <si>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</si>
  <si>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</si>
  <si>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</si>
  <si>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</si>
  <si>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</si>
  <si>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</si>
  <si>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</si>
  <si>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</si>
  <si>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</si>
  <si>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</si>
  <si>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</si>
  <si>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</si>
  <si>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</si>
  <si>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</si>
  <si>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</si>
  <si>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</si>
  <si>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</si>
  <si>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</si>
  <si>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</si>
  <si>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</si>
  <si>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</si>
  <si>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</si>
  <si>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</si>
  <si>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</si>
  <si>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</si>
  <si>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</si>
  <si>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</si>
  <si>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</si>
  <si>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</si>
  <si>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</si>
  <si>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</si>
  <si>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</si>
  <si>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</si>
  <si>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</si>
  <si>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</si>
  <si>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</si>
  <si>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</si>
  <si>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</si>
  <si>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</si>
  <si>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</si>
  <si>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</si>
  <si>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</si>
  <si>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</si>
  <si>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</si>
  <si>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</si>
  <si>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</si>
  <si>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</si>
  <si>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</si>
  <si>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</si>
  <si>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</si>
  <si>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</si>
  <si>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</si>
  <si>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</si>
  <si>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</si>
  <si>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</si>
  <si>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</si>
  <si>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</si>
  <si>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</si>
  <si>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</si>
  <si>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</si>
  <si>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</si>
  <si>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</si>
  <si>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</si>
  <si>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</si>
  <si>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</si>
  <si>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</si>
  <si>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</si>
  <si>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</si>
  <si>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</si>
  <si>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</si>
  <si>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</si>
  <si>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</si>
  <si>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</si>
  <si>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</si>
  <si>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</si>
  <si>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</si>
  <si>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</si>
  <si>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</si>
  <si>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</si>
  <si>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</si>
  <si>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</si>
  <si>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</si>
  <si>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</si>
  <si>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</si>
  <si>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</si>
  <si>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</si>
  <si>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</si>
  <si>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</si>
  <si>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</si>
  <si>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</si>
  <si>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</si>
  <si>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</si>
  <si>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</si>
  <si>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</si>
  <si>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</si>
  <si>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</si>
  <si>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</si>
  <si>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</si>
  <si>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</si>
  <si>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</si>
  <si>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</si>
  <si>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</si>
  <si>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</si>
  <si>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</si>
  <si>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</si>
  <si>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</si>
  <si>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</si>
  <si>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</si>
  <si>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</si>
  <si>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</si>
  <si>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</si>
  <si>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</si>
  <si>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</si>
  <si>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</si>
  <si>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</si>
  <si>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</si>
  <si>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</si>
  <si>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</si>
  <si>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</si>
  <si>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</si>
  <si>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</si>
  <si>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</si>
  <si>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</si>
  <si>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</si>
  <si>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</si>
  <si>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</si>
  <si>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</si>
  <si>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</si>
  <si>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</si>
  <si>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</si>
  <si>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</si>
  <si>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</si>
  <si>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</si>
  <si>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</si>
  <si>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</si>
  <si>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</si>
  <si>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</si>
  <si>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</si>
  <si>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</si>
  <si>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</si>
  <si>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</si>
  <si>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</si>
  <si>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</si>
  <si>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</si>
  <si>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</si>
  <si>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</si>
  <si>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</si>
  <si>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</si>
  <si>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</si>
  <si>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</si>
  <si>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</si>
  <si>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</si>
  <si>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</si>
  <si>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</si>
  <si>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</si>
  <si>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</si>
  <si>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</si>
  <si>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</si>
  <si>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</si>
  <si>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</si>
  <si>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</si>
  <si>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</si>
  <si>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</si>
  <si>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</si>
  <si>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</si>
  <si>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</si>
  <si>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</si>
  <si>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</si>
  <si>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</si>
  <si>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</si>
  <si>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</si>
  <si>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</si>
  <si>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</si>
  <si>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</si>
  <si>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</si>
  <si>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</si>
  <si>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</si>
  <si>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</si>
  <si>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</si>
  <si>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</si>
  <si>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</si>
  <si>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</si>
  <si>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</si>
  <si>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</si>
  <si>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</si>
  <si>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</si>
  <si>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</si>
  <si>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</si>
  <si>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</si>
  <si>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</si>
  <si>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</si>
  <si>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</si>
  <si>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</si>
  <si>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</si>
  <si>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</si>
  <si>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</si>
  <si>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</si>
  <si>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</si>
  <si>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</si>
  <si>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</si>
  <si>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</si>
  <si>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</si>
  <si>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</si>
  <si>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</si>
  <si>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</si>
  <si>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</si>
  <si>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</si>
  <si>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</si>
  <si>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</si>
  <si>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</si>
  <si>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</si>
  <si>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</si>
  <si>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</si>
  <si>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</si>
  <si>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</si>
  <si>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</si>
  <si>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</si>
  <si>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</si>
  <si>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</si>
  <si>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</si>
  <si>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</si>
  <si>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</si>
  <si>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</si>
  <si>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</si>
  <si>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</si>
  <si>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</si>
  <si>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</si>
  <si>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</si>
  <si>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</si>
  <si>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</si>
  <si>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</si>
  <si>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</si>
  <si>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</si>
  <si>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</si>
  <si>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</si>
  <si>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</si>
  <si>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</si>
  <si>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</si>
  <si>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</si>
  <si>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</si>
  <si>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</si>
  <si>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</si>
  <si>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</si>
  <si>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</si>
  <si>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</si>
  <si>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</si>
  <si>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</si>
  <si>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</si>
  <si>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</si>
  <si>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</si>
  <si>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</si>
  <si>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</si>
  <si>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</si>
  <si>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</si>
  <si>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</si>
  <si>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</si>
  <si>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</si>
  <si>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</si>
  <si>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</si>
  <si>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</si>
  <si>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</si>
  <si>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</si>
  <si>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</si>
  <si>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</si>
  <si>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</si>
  <si>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</si>
  <si>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</si>
  <si>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</si>
  <si>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</si>
  <si>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</si>
  <si>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</si>
  <si>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</si>
  <si>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</si>
  <si>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</si>
  <si>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</si>
  <si>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</si>
  <si>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</si>
  <si>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</si>
  <si>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</si>
  <si>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</si>
  <si>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</si>
  <si>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</si>
  <si>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</si>
  <si>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</si>
  <si>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</si>
  <si>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</si>
  <si>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</si>
  <si>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</si>
  <si>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</si>
  <si>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</si>
  <si>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</si>
  <si>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</si>
  <si>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</si>
  <si>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</si>
  <si>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</si>
  <si>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</si>
  <si>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</si>
  <si>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</si>
  <si>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</si>
  <si>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</si>
  <si>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</si>
  <si>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</si>
  <si>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</si>
  <si>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</si>
  <si>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</si>
  <si>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</si>
  <si>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</si>
  <si>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</si>
  <si>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</si>
  <si>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</si>
  <si>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</si>
  <si>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</si>
  <si>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</si>
  <si>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</si>
  <si>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</si>
  <si>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</si>
  <si>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</si>
  <si>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</si>
  <si>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</si>
  <si>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</si>
  <si>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</si>
  <si>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</si>
  <si>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</si>
  <si>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</si>
  <si>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</si>
  <si>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</si>
  <si>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</si>
  <si>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</si>
  <si>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</si>
  <si>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</si>
  <si>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</si>
  <si>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</si>
  <si>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</si>
  <si>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</si>
  <si>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</si>
  <si>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</si>
  <si>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</si>
  <si>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</si>
  <si>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</si>
  <si>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</si>
  <si>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</si>
  <si>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</si>
  <si>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</si>
  <si>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</si>
  <si>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</si>
  <si>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</si>
  <si>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</si>
  <si>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</si>
  <si>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</si>
  <si>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</si>
  <si>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</si>
  <si>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</si>
  <si>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</si>
  <si>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</si>
  <si>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</si>
  <si>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</si>
  <si>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</si>
  <si>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</si>
  <si>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</si>
  <si>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</si>
  <si>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</si>
  <si>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</si>
  <si>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</si>
  <si>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</si>
  <si>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</si>
  <si>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</si>
  <si>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</si>
  <si>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</si>
  <si>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</si>
  <si>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</si>
  <si>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</si>
  <si>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</si>
  <si>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</si>
  <si>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</si>
  <si>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</si>
  <si>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</si>
  <si>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</si>
  <si>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</si>
  <si>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</si>
  <si>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</si>
  <si>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</si>
  <si>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</si>
  <si>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</si>
  <si>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</si>
  <si>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</si>
  <si>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</si>
  <si>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</si>
  <si>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</si>
  <si>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</si>
  <si>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</si>
  <si>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</si>
  <si>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</si>
  <si>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</si>
  <si>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</si>
  <si>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</si>
  <si>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</si>
  <si>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</si>
  <si>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</si>
  <si>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</si>
  <si>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</si>
  <si>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</si>
  <si>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</si>
  <si>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</si>
  <si>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</si>
  <si>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</si>
  <si>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</si>
  <si>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</si>
  <si>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</si>
  <si>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</si>
  <si>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</si>
  <si>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</si>
  <si>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</si>
  <si>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</si>
  <si>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</si>
  <si>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</si>
  <si>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</si>
  <si>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</si>
  <si>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</si>
  <si>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</si>
  <si>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</si>
  <si>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</si>
  <si>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</si>
  <si>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</si>
  <si>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</si>
  <si>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</si>
  <si>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</si>
  <si>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</si>
  <si>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</si>
  <si>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</si>
  <si>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</si>
  <si>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</si>
  <si>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</si>
  <si>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</si>
  <si>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</si>
  <si>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</si>
  <si>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</si>
  <si>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</si>
  <si>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</si>
  <si>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</si>
  <si>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</si>
  <si>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</si>
  <si>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</si>
  <si>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</si>
  <si>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</si>
  <si>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</si>
  <si>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</si>
  <si>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</si>
  <si>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</si>
  <si>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</si>
  <si>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</si>
  <si>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</si>
  <si>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</si>
  <si>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</si>
  <si>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</si>
  <si>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</si>
  <si>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</si>
  <si>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</si>
  <si>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</si>
  <si>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</si>
  <si>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</si>
  <si>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</si>
  <si>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</si>
  <si>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</si>
  <si>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</si>
  <si>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</si>
  <si>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</si>
  <si>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</si>
  <si>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</si>
  <si>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</si>
  <si>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</si>
  <si>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</si>
  <si>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</si>
  <si>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</si>
  <si>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</si>
  <si>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</si>
  <si>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</si>
  <si>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</si>
  <si>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</si>
  <si>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</si>
  <si>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</si>
  <si>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</si>
  <si>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</si>
  <si>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</si>
  <si>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</si>
  <si>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</si>
  <si>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</si>
  <si>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</si>
  <si>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</si>
  <si>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</si>
  <si>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</si>
  <si>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</si>
  <si>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</si>
  <si>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</si>
  <si>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</si>
  <si>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</si>
  <si>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</si>
  <si>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</si>
  <si>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</si>
  <si>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</si>
  <si>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</si>
  <si>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</si>
  <si>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</si>
  <si>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</si>
  <si>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</si>
  <si>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</si>
  <si>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</si>
  <si>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</si>
  <si>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</si>
  <si>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</si>
  <si>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</si>
  <si>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</si>
  <si>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</si>
  <si>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</si>
  <si>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</si>
  <si>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</si>
  <si>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</si>
  <si>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</si>
  <si>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</si>
  <si>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</si>
  <si>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</si>
  <si>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</si>
  <si>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</si>
  <si>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</si>
  <si>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</si>
  <si>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</si>
  <si>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</si>
  <si>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</si>
  <si>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</si>
  <si>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</si>
  <si>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</si>
  <si>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</si>
  <si>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</si>
  <si>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</si>
  <si>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</si>
  <si>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</si>
  <si>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</si>
  <si>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</si>
  <si>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</si>
  <si>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</si>
  <si>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</si>
  <si>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</si>
  <si>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</si>
  <si>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</si>
  <si>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</si>
  <si>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</si>
  <si>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</si>
  <si>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</si>
  <si>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</si>
  <si>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</si>
  <si>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</si>
  <si>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</si>
  <si>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</si>
  <si>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</si>
  <si>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</si>
  <si>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</si>
  <si>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</si>
  <si>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</si>
  <si>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</si>
  <si>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</si>
  <si>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</si>
  <si>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</si>
  <si>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</si>
  <si>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</si>
  <si>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</si>
  <si>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</si>
  <si>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</si>
  <si>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</si>
  <si>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</si>
  <si>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</si>
  <si>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</si>
  <si>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</si>
  <si>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</si>
  <si>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</si>
  <si>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</si>
  <si>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</si>
  <si>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</si>
  <si>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</si>
  <si>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</si>
  <si>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</si>
  <si>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</si>
  <si>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</si>
  <si>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</si>
  <si>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</si>
  <si>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</si>
  <si>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</si>
  <si>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</si>
  <si>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</si>
  <si>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</si>
  <si>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</si>
  <si>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</si>
  <si>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</si>
  <si>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</si>
  <si>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</si>
  <si>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</si>
  <si>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</si>
  <si>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</si>
  <si>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</si>
  <si>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</si>
  <si>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</si>
  <si>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</si>
  <si>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</si>
  <si>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</si>
  <si>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</si>
  <si>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</si>
  <si>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</si>
  <si>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</si>
  <si>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</si>
  <si>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</si>
  <si>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</si>
  <si>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</si>
  <si>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</si>
  <si>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</si>
  <si>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</si>
  <si>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</si>
  <si>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</si>
  <si>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</si>
  <si>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</si>
  <si>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</si>
  <si>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</si>
  <si>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</si>
  <si>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</si>
  <si>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</si>
  <si>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</si>
  <si>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</si>
  <si>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</si>
  <si>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</si>
  <si>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</si>
  <si>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</si>
  <si>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</si>
  <si>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</si>
  <si>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</si>
  <si>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</si>
  <si>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</si>
  <si>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</si>
  <si>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</si>
  <si>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</si>
  <si>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</si>
  <si>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</si>
  <si>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</si>
  <si>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</si>
  <si>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</si>
  <si>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</si>
  <si>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</si>
  <si>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</si>
  <si>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</si>
  <si>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</si>
  <si>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</si>
  <si>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</si>
  <si>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</si>
  <si>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</si>
  <si>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</si>
  <si>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</si>
  <si>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</si>
  <si>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</si>
  <si>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</si>
  <si>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</si>
  <si>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</si>
  <si>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</si>
  <si>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</si>
  <si>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</si>
  <si>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</si>
  <si>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</si>
  <si>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</si>
  <si>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</si>
  <si>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</si>
  <si>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</si>
  <si>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</si>
  <si>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</si>
  <si>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</si>
  <si>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</si>
  <si>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</si>
  <si>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</si>
  <si>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</si>
  <si>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</si>
  <si>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</si>
  <si>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</si>
  <si>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</si>
  <si>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</si>
  <si>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</si>
  <si>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</si>
  <si>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</si>
  <si>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</si>
  <si>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</si>
  <si>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</si>
  <si>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</si>
  <si>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</si>
  <si>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</si>
  <si>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</si>
  <si>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</si>
  <si>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</si>
  <si>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</si>
  <si>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</si>
  <si>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</si>
  <si>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</si>
  <si>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</si>
  <si>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</si>
  <si>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</si>
  <si>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</si>
  <si>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</si>
  <si>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</si>
  <si>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</si>
  <si>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</si>
  <si>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</si>
  <si>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</si>
  <si>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</si>
  <si>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</si>
  <si>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</si>
  <si>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</si>
  <si>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</si>
  <si>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</si>
  <si>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</si>
  <si>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</si>
  <si>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</si>
  <si>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</si>
  <si>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</si>
  <si>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</si>
  <si>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</si>
  <si>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</si>
  <si>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</si>
  <si>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</si>
  <si>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</si>
  <si>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</si>
  <si>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</si>
  <si>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</si>
  <si>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</si>
  <si>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</si>
  <si>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</si>
  <si>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</si>
  <si>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</si>
  <si>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</si>
  <si>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</si>
  <si>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</si>
  <si>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</si>
  <si>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</si>
  <si>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</si>
  <si>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</si>
  <si>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</si>
  <si>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</si>
  <si>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</si>
  <si>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</si>
  <si>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</si>
  <si>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</si>
  <si>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</si>
  <si>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</si>
  <si>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</si>
  <si>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</si>
  <si>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</si>
  <si>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</si>
  <si>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</si>
  <si>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</si>
  <si>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</si>
  <si>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</si>
  <si>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</si>
  <si>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</si>
  <si>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</si>
  <si>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</si>
  <si>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</si>
  <si>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</si>
  <si>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</si>
  <si>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</si>
  <si>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</si>
  <si>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</si>
  <si>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</si>
  <si>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</si>
  <si>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</si>
  <si>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</si>
  <si>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</si>
  <si>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</si>
  <si>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</si>
  <si>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</si>
  <si>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</si>
  <si>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</si>
  <si>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</si>
  <si>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</si>
  <si>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</si>
  <si>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</si>
  <si>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</si>
  <si>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</si>
  <si>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</si>
  <si>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</si>
  <si>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</si>
  <si>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</si>
  <si>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</si>
  <si>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</si>
  <si>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</si>
  <si>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</si>
  <si>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</si>
  <si>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</si>
  <si>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</si>
  <si>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</si>
  <si>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</si>
  <si>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</si>
  <si>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</si>
  <si>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</si>
  <si>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</si>
  <si>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</si>
  <si>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</si>
  <si>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</si>
  <si>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</si>
  <si>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</si>
  <si>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</si>
  <si>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</si>
  <si>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</si>
  <si>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</si>
  <si>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</si>
  <si>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</si>
  <si>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</si>
  <si>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</si>
  <si>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</si>
  <si>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</si>
  <si>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</si>
  <si>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</si>
  <si>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</si>
  <si>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</si>
  <si>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</si>
  <si>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</si>
  <si>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</si>
  <si>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</si>
  <si>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</si>
  <si>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</si>
  <si>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</si>
  <si>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</si>
  <si>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</si>
  <si>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</si>
  <si>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</si>
  <si>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</si>
  <si>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</si>
  <si>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</si>
  <si>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</si>
  <si>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</si>
  <si>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</si>
  <si>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</si>
  <si>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</si>
  <si>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</si>
  <si>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</si>
  <si>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</si>
  <si>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</si>
  <si>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</si>
  <si>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</si>
  <si>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</si>
  <si>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</si>
  <si>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</si>
  <si>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</si>
  <si>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</si>
  <si>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</si>
  <si>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</si>
  <si>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</si>
  <si>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</si>
  <si>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</si>
  <si>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</si>
  <si>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</si>
  <si>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</si>
  <si>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</si>
  <si>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</si>
  <si>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</si>
  <si>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</si>
  <si>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</si>
  <si>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</si>
  <si>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</si>
  <si>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</si>
  <si>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</si>
  <si>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</si>
  <si>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</si>
  <si>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</si>
  <si>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</si>
  <si>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</si>
  <si>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</si>
  <si>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</si>
  <si>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</si>
  <si>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</si>
  <si>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</si>
  <si>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</si>
  <si>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</si>
  <si>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</si>
  <si>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</si>
  <si>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</si>
  <si>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</si>
  <si>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</si>
  <si>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</si>
  <si>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</si>
  <si>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</si>
  <si>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</si>
  <si>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</si>
  <si>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</si>
  <si>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</si>
  <si>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</si>
  <si>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</si>
  <si>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</si>
  <si>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</si>
  <si>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</si>
  <si>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</si>
  <si>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</si>
  <si>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</si>
  <si>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</si>
  <si>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</si>
  <si>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</si>
  <si>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</si>
  <si>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</si>
  <si>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</si>
  <si>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</si>
  <si>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</si>
  <si>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</si>
  <si>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</si>
  <si>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</si>
  <si>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</si>
  <si>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</si>
  <si>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</si>
  <si>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</si>
  <si>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</si>
  <si>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</si>
  <si>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</si>
  <si>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</si>
  <si>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</si>
  <si>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</si>
  <si>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</si>
  <si>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</si>
  <si>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</si>
  <si>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</si>
  <si>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</si>
  <si>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</si>
  <si>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</si>
  <si>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</si>
  <si>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</si>
  <si>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</si>
  <si>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</si>
  <si>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</si>
  <si>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</si>
  <si>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</si>
  <si>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</si>
  <si>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</si>
  <si>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</si>
  <si>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</si>
  <si>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</si>
  <si>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</si>
  <si>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</si>
  <si>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</si>
  <si>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</si>
  <si>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</si>
  <si>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</si>
  <si>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</si>
  <si>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</si>
  <si>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</si>
  <si>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</si>
  <si>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</si>
  <si>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</si>
  <si>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</si>
  <si>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</si>
  <si>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</si>
  <si>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</si>
  <si>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</si>
  <si>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</si>
  <si>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</si>
  <si>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</si>
  <si>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</si>
  <si>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</si>
  <si>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</si>
  <si>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</si>
  <si>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</si>
  <si>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</si>
  <si>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</si>
  <si>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</si>
  <si>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</si>
  <si>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</si>
  <si>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</si>
  <si>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</si>
  <si>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</si>
  <si>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</si>
  <si>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</si>
  <si>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</si>
  <si>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</si>
  <si>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</si>
  <si>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</si>
  <si>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</si>
  <si>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</si>
  <si>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</si>
  <si>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</si>
  <si>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</si>
  <si>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</si>
  <si>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</si>
  <si>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</si>
  <si>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</si>
  <si>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</si>
  <si>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</si>
  <si>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</si>
  <si>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</si>
  <si>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</si>
  <si>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</si>
  <si>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</si>
  <si>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</si>
  <si>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</si>
  <si>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</si>
  <si>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</si>
  <si>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</si>
  <si>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</si>
  <si>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</si>
  <si>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</si>
  <si>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</si>
  <si>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</si>
  <si>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</si>
  <si>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</si>
  <si>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</si>
  <si>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</si>
  <si>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</si>
  <si>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</si>
  <si>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</si>
  <si>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</si>
  <si>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</si>
  <si>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</si>
  <si>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</si>
  <si>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</si>
  <si>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</si>
  <si>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</si>
  <si>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</si>
  <si>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</si>
  <si>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</si>
  <si>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</si>
  <si>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</si>
  <si>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</si>
  <si>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</si>
  <si>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</si>
  <si>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</si>
  <si>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</si>
  <si>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</si>
  <si>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</si>
  <si>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</si>
  <si>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</si>
  <si>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</si>
  <si>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</si>
  <si>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</si>
  <si>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</si>
  <si>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</si>
  <si>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</si>
  <si>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</si>
  <si>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</si>
  <si>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</si>
  <si>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</si>
  <si>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</si>
  <si>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</si>
  <si>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</si>
  <si>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</si>
  <si>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</si>
  <si>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</si>
  <si>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</si>
  <si>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</si>
  <si>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</si>
  <si>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</si>
  <si>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</si>
  <si>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</si>
  <si>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</si>
  <si>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</si>
  <si>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</si>
  <si>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</si>
  <si>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</si>
  <si>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</si>
  <si>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</si>
  <si>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</si>
  <si>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</si>
  <si>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</si>
  <si>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</si>
  <si>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</si>
  <si>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</si>
  <si>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</si>
  <si>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</si>
  <si>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</si>
  <si>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</si>
  <si>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</si>
  <si>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</si>
  <si>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</si>
  <si>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</si>
  <si>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</si>
  <si>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</si>
  <si>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</si>
  <si>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</si>
  <si>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</si>
  <si>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</si>
  <si>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</si>
  <si>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</si>
  <si>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</si>
  <si>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</si>
  <si>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</si>
  <si>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</si>
  <si>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</si>
  <si>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</si>
  <si>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</si>
  <si>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</si>
  <si>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</si>
  <si>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</si>
  <si>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</si>
  <si>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</si>
  <si>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</si>
  <si>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</si>
  <si>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</si>
  <si>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</si>
  <si>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</si>
  <si>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</si>
  <si>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</si>
  <si>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</si>
  <si>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</si>
  <si>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</si>
  <si>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</si>
  <si>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</si>
  <si>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</si>
  <si>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</si>
  <si>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</si>
  <si>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</si>
  <si>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</si>
  <si>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</si>
  <si>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</si>
  <si>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</si>
  <si>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</si>
  <si>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</si>
  <si>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</si>
  <si>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</si>
  <si>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</si>
  <si>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</si>
  <si>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</si>
  <si>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</si>
  <si>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</si>
  <si>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</si>
  <si>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</si>
  <si>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</si>
  <si>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</si>
  <si>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</si>
  <si>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</si>
  <si>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</si>
  <si>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</si>
  <si>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</si>
  <si>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</si>
  <si>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</si>
  <si>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</si>
  <si>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</si>
  <si>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</si>
  <si>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</si>
  <si>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</si>
  <si>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</si>
  <si>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</si>
  <si>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</si>
  <si>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</si>
  <si>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</si>
  <si>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</si>
  <si>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</si>
  <si>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</si>
  <si>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</si>
  <si>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</si>
  <si>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</si>
  <si>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</si>
  <si>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</si>
  <si>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</si>
  <si>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</si>
  <si>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</si>
  <si>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</si>
  <si>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</si>
  <si>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</si>
  <si>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</si>
  <si>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</si>
  <si>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</si>
  <si>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</si>
  <si>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</si>
  <si>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</si>
  <si>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</si>
  <si>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</si>
  <si>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</si>
  <si>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</si>
  <si>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</si>
  <si>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</si>
  <si>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</si>
  <si>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</si>
  <si>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</si>
  <si>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</si>
  <si>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</si>
  <si>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</si>
  <si>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</si>
  <si>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</si>
  <si>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</si>
  <si>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</si>
  <si>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</si>
  <si>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</si>
  <si>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</si>
  <si>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</si>
  <si>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</si>
  <si>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</si>
  <si>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</si>
  <si>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</si>
  <si>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</si>
  <si>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</si>
  <si>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</si>
  <si>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</si>
  <si>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</si>
  <si>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</si>
  <si>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</si>
  <si>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</si>
  <si>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</si>
  <si>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</si>
  <si>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</si>
  <si>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</si>
  <si>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</si>
  <si>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</si>
  <si>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</si>
  <si>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</si>
  <si>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</si>
  <si>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</si>
  <si>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</si>
  <si>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</si>
  <si>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</si>
  <si>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</si>
  <si>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</si>
  <si>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</si>
  <si>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</si>
  <si>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</si>
  <si>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</si>
  <si>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</si>
  <si>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</si>
  <si>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</si>
  <si>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</si>
  <si>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</si>
  <si>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</si>
  <si>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</si>
  <si>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</si>
  <si>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</si>
  <si>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</si>
  <si>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</si>
  <si>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</si>
  <si>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</si>
  <si>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</si>
  <si>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</si>
  <si>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</si>
  <si>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</si>
  <si>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</si>
  <si>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</si>
  <si>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</si>
  <si>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</si>
  <si>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</si>
  <si>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</si>
  <si>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</si>
  <si>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</si>
  <si>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</si>
  <si>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</si>
  <si>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</si>
  <si>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</si>
  <si>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</si>
  <si>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</si>
  <si>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</si>
  <si>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</si>
  <si>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</si>
  <si>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</si>
  <si>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</si>
  <si>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</si>
  <si>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</si>
  <si>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</si>
  <si>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</si>
  <si>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</si>
  <si>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</si>
  <si>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</si>
  <si>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</si>
  <si>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</si>
  <si>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</si>
  <si>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</si>
  <si>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</si>
  <si>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</si>
  <si>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</si>
  <si>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</si>
  <si>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</si>
  <si>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</si>
  <si>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</si>
  <si>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</si>
  <si>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</si>
  <si>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</si>
  <si>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</si>
  <si>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</si>
  <si>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</si>
  <si>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</si>
  <si>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</si>
  <si>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</si>
  <si>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</si>
  <si>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</si>
  <si>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</si>
  <si>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</si>
  <si>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</si>
  <si>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</si>
  <si>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</si>
  <si>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</si>
  <si>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</si>
  <si>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</si>
  <si>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</si>
  <si>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</si>
  <si>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</si>
  <si>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</si>
  <si>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</si>
  <si>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</si>
  <si>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</si>
  <si>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</si>
  <si>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</si>
  <si>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</si>
  <si>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</si>
  <si>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</si>
  <si>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</si>
  <si>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</si>
  <si>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</si>
  <si>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</si>
  <si>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</si>
  <si>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</si>
  <si>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</si>
  <si>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</si>
  <si>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</si>
  <si>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</si>
  <si>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</si>
  <si>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</si>
  <si>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</si>
  <si>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</si>
  <si>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</si>
  <si>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</si>
  <si>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</si>
  <si>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</si>
  <si>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</si>
  <si>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</si>
  <si>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</si>
  <si>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</si>
  <si>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</si>
  <si>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</si>
  <si>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</si>
  <si>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</si>
  <si>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</si>
  <si>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</si>
  <si>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</si>
  <si>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</si>
  <si>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</si>
  <si>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</si>
  <si>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</si>
  <si>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</si>
  <si>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</si>
  <si>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</si>
  <si>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</si>
  <si>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</si>
  <si>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</si>
  <si>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</si>
  <si>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</si>
  <si>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</si>
  <si>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</si>
  <si>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</si>
  <si>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</si>
  <si>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</si>
  <si>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</si>
  <si>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</si>
  <si>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</si>
  <si>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</si>
  <si>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</si>
  <si>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</si>
  <si>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</si>
  <si>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</si>
  <si>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</si>
  <si>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</si>
  <si>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</si>
  <si>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</si>
  <si>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</si>
  <si>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</si>
  <si>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</si>
  <si>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</si>
  <si>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</si>
  <si>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</si>
  <si>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</si>
  <si>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</si>
  <si>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</si>
  <si>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</si>
  <si>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</si>
  <si>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</si>
  <si>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</si>
  <si>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</si>
  <si>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</si>
  <si>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</si>
  <si>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</si>
  <si>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</si>
  <si>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</si>
  <si>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</si>
  <si>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</si>
  <si>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</si>
  <si>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</si>
  <si>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</si>
  <si>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</si>
  <si>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</si>
  <si>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</si>
  <si>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</si>
  <si>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</si>
  <si>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</si>
  <si>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</si>
  <si>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</si>
  <si>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</si>
  <si>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</si>
  <si>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</si>
  <si>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</si>
  <si>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</si>
  <si>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</si>
  <si>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</si>
  <si>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</si>
  <si>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</si>
  <si>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</si>
  <si>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</si>
  <si>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</si>
  <si>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</si>
  <si>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</si>
  <si>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</si>
  <si>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</si>
  <si>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</si>
  <si>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</si>
  <si>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</si>
  <si>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</si>
  <si>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</si>
  <si>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</si>
  <si>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</si>
  <si>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</si>
  <si>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</si>
  <si>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</si>
  <si>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</si>
  <si>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</si>
  <si>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</si>
  <si>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</si>
  <si>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</si>
  <si>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</si>
  <si>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</si>
  <si>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</si>
  <si>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</si>
  <si>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</si>
  <si>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</si>
  <si>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</si>
  <si>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</si>
  <si>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</si>
  <si>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</si>
  <si>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</si>
  <si>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</si>
  <si>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</si>
  <si>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</si>
  <si>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</si>
  <si>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</si>
  <si>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</si>
  <si>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</si>
  <si>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</si>
  <si>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</si>
  <si>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</si>
  <si>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</si>
  <si>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</si>
  <si>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</si>
  <si>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</si>
  <si>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</si>
  <si>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</si>
  <si>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</si>
  <si>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</si>
  <si>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</si>
  <si>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</si>
  <si>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</si>
  <si>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</si>
  <si>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</si>
  <si>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</si>
  <si>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</si>
  <si>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</si>
  <si>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</si>
  <si>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</si>
  <si>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</si>
  <si>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</si>
  <si>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</si>
  <si>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</si>
  <si>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</si>
  <si>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</si>
  <si>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</si>
  <si>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</si>
  <si>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</si>
  <si>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</si>
  <si>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</si>
  <si>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</si>
  <si>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</si>
  <si>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</si>
  <si>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</si>
  <si>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</si>
  <si>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</si>
  <si>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</si>
  <si>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</si>
  <si>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</si>
  <si>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</si>
  <si>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</si>
  <si>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</si>
  <si>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</si>
  <si>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</si>
  <si>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</si>
  <si>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</si>
  <si>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</si>
  <si>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</si>
  <si>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</si>
  <si>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</si>
  <si>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</si>
  <si>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</si>
  <si>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</si>
  <si>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</si>
  <si>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</si>
  <si>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</si>
  <si>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</si>
  <si>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</si>
  <si>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</si>
  <si>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</si>
  <si>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</si>
  <si>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</si>
  <si>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</si>
  <si>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</si>
  <si>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</si>
  <si>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</si>
  <si>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</si>
  <si>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</si>
  <si>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</si>
  <si>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</si>
  <si>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</si>
  <si>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</si>
  <si>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</si>
  <si>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</si>
  <si>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</si>
  <si>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</si>
  <si>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</si>
  <si>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</si>
  <si>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</si>
  <si>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</si>
  <si>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</si>
  <si>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</si>
  <si>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</si>
  <si>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</si>
  <si>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</si>
  <si>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</si>
  <si>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</si>
  <si>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</si>
  <si>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</si>
  <si>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</si>
  <si>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</si>
  <si>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</si>
  <si>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</si>
  <si>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</si>
  <si>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</si>
  <si>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</si>
  <si>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</si>
  <si>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</si>
  <si>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</si>
  <si>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</si>
  <si>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</si>
  <si>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</si>
  <si>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</si>
  <si>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</si>
  <si>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</si>
  <si>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</si>
  <si>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</si>
  <si>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</si>
  <si>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</si>
  <si>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</si>
  <si>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</si>
  <si>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</si>
  <si>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</si>
  <si>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</si>
  <si>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</si>
  <si>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</si>
  <si>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</si>
  <si>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</si>
  <si>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</si>
  <si>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</si>
  <si>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</si>
  <si>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</si>
  <si>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</si>
  <si>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</si>
  <si>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</si>
  <si>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</si>
  <si>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</si>
  <si>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</si>
  <si>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</si>
  <si>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</si>
  <si>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</si>
  <si>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</si>
  <si>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</si>
  <si>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</si>
  <si>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</si>
  <si>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</si>
  <si>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</si>
  <si>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</si>
  <si>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</si>
  <si>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</si>
  <si>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</si>
  <si>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</si>
  <si>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</si>
  <si>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</si>
  <si>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</si>
  <si>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</si>
  <si>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</si>
  <si>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</si>
  <si>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</si>
  <si>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</si>
  <si>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</si>
  <si>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</si>
  <si>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</si>
  <si>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</si>
  <si>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</si>
  <si>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</si>
  <si>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</si>
  <si>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</si>
  <si>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</si>
  <si>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</si>
  <si>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</si>
  <si>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</si>
  <si>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</si>
  <si>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</si>
  <si>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</si>
  <si>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</si>
  <si>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</si>
  <si>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</si>
  <si>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</si>
  <si>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</si>
  <si>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</si>
  <si>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</si>
  <si>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</si>
  <si>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</si>
  <si>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</si>
  <si>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</si>
  <si>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</si>
  <si>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</si>
  <si>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</si>
  <si>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</si>
  <si>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</si>
  <si>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</si>
  <si>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</si>
  <si>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</si>
  <si>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</si>
  <si>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</si>
  <si>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</si>
  <si>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</si>
  <si>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</si>
  <si>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</si>
  <si>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</si>
  <si>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</si>
  <si>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</si>
  <si>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</si>
  <si>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</si>
  <si>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</si>
  <si>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</si>
  <si>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</si>
  <si>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</si>
  <si>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</si>
  <si>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</si>
  <si>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</si>
  <si>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</si>
  <si>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</si>
  <si>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</si>
  <si>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</si>
  <si>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</si>
  <si>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</si>
  <si>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</si>
  <si>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</si>
  <si>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</si>
  <si>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</si>
  <si>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</si>
  <si>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</si>
  <si>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</si>
  <si>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</si>
  <si>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</si>
  <si>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</si>
  <si>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</si>
  <si>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</si>
  <si>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</si>
  <si>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</si>
  <si>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</si>
  <si>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</si>
  <si>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</si>
  <si>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</si>
  <si>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</si>
  <si>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</si>
  <si>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</si>
  <si>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</si>
  <si>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</si>
  <si>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</si>
  <si>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</si>
  <si>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</si>
  <si>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</si>
  <si>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</si>
  <si>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</si>
  <si>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</si>
  <si>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</si>
  <si>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</si>
  <si>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</si>
  <si>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</si>
  <si>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</si>
  <si>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</si>
  <si>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</si>
  <si>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</si>
  <si>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</si>
  <si>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</si>
  <si>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</si>
  <si>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</si>
  <si>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</si>
  <si>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</si>
  <si>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</si>
  <si>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</si>
  <si>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</si>
  <si>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</si>
  <si>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</si>
  <si>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</si>
  <si>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</si>
  <si>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</si>
  <si>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</si>
  <si>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</si>
  <si>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</si>
  <si>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</si>
  <si>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</si>
  <si>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</si>
  <si>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</si>
  <si>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</si>
  <si>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</si>
  <si>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</si>
  <si>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</si>
  <si>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</si>
  <si>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</si>
  <si>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</si>
  <si>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</si>
  <si>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</si>
  <si>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</si>
  <si>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</si>
  <si>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</si>
  <si>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</si>
  <si>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</si>
  <si>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</si>
  <si>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</si>
  <si>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</si>
  <si>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</si>
  <si>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</si>
  <si>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</si>
  <si>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</si>
  <si>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</si>
  <si>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</si>
  <si>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</si>
  <si>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</si>
  <si>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</si>
  <si>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</si>
  <si>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</si>
  <si>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</si>
  <si>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</si>
  <si>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</si>
  <si>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</si>
  <si>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</si>
  <si>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</si>
  <si>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</si>
  <si>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</si>
  <si>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</si>
  <si>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</si>
  <si>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</si>
  <si>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</si>
  <si>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</si>
  <si>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</si>
  <si>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</si>
  <si>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</si>
  <si>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</si>
  <si>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</si>
  <si>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</si>
  <si>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</si>
  <si>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</si>
  <si>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</si>
  <si>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</si>
  <si>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</si>
  <si>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</si>
  <si>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</si>
  <si>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</si>
  <si>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</si>
  <si>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</si>
  <si>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</si>
  <si>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</si>
  <si>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</si>
  <si>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</si>
  <si>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</si>
  <si>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</si>
  <si>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</si>
  <si>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</si>
  <si>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</si>
  <si>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</si>
  <si>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</si>
  <si>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</si>
  <si>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</si>
  <si>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</si>
  <si>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</si>
  <si>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</si>
  <si>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</si>
  <si>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</si>
  <si>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</si>
  <si>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</si>
  <si>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</si>
  <si>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</si>
  <si>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</si>
  <si>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</si>
  <si>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</si>
  <si>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</si>
  <si>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</si>
  <si>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</si>
  <si>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</si>
  <si>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</si>
  <si>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</si>
  <si>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</si>
  <si>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</si>
  <si>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</si>
  <si>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</si>
  <si>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</si>
  <si>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</si>
  <si>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</si>
  <si>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</si>
  <si>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</si>
  <si>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</si>
  <si>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</si>
  <si>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</si>
  <si>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</si>
  <si>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</si>
  <si>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</si>
  <si>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</si>
  <si>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</si>
  <si>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</si>
  <si>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</si>
  <si>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</si>
  <si>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</si>
  <si>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</si>
  <si>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</si>
  <si>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</si>
  <si>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</si>
  <si>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</si>
  <si>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</si>
  <si>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</si>
  <si>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</si>
  <si>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</si>
  <si>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</si>
  <si>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</si>
  <si>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</si>
  <si>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</si>
  <si>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</si>
  <si>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</si>
  <si>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</si>
  <si>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</si>
  <si>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</si>
  <si>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</si>
  <si>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</si>
  <si>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</si>
  <si>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</si>
  <si>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</si>
  <si>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</si>
  <si>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</si>
  <si>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</si>
  <si>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</si>
  <si>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</si>
  <si>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</si>
  <si>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</si>
  <si>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</si>
  <si>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</si>
  <si>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</si>
  <si>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</si>
  <si>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</si>
  <si>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</si>
  <si>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</si>
  <si>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</si>
  <si>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</si>
  <si>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</si>
  <si>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</si>
  <si>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</si>
  <si>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</si>
  <si>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</si>
  <si>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</si>
  <si>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</si>
  <si>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</si>
  <si>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</si>
  <si>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</si>
  <si>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459900.05.01</t>
  </si>
  <si>
    <t>Криминалистическая метод. расследования...: Моногр. /Н.П.Яблоков -М.:Юр.Норма, НИЦ ИНФРА-М, 2022-192с.(П)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</si>
  <si>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</si>
  <si>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</si>
  <si>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</si>
  <si>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</si>
  <si>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</si>
  <si>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</si>
  <si>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</si>
  <si>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</si>
  <si>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</si>
  <si>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</si>
  <si>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</si>
  <si>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</si>
  <si>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</si>
  <si>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</si>
  <si>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</si>
  <si>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</si>
  <si>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</si>
  <si>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</si>
  <si>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</si>
  <si>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</si>
  <si>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</si>
  <si>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</si>
  <si>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</si>
  <si>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</si>
  <si>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</si>
  <si>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</si>
  <si>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</si>
  <si>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</si>
  <si>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</si>
  <si>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</si>
  <si>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</si>
  <si>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</si>
  <si>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</si>
  <si>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</si>
  <si>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</si>
  <si>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</si>
  <si>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</si>
  <si>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</si>
  <si>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</si>
  <si>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</si>
  <si>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</si>
  <si>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</si>
  <si>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</si>
  <si>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</si>
  <si>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</si>
  <si>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</si>
  <si>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</si>
  <si>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</si>
  <si>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</si>
  <si>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</si>
  <si>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</si>
  <si>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</si>
  <si>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</si>
  <si>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</si>
  <si>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</si>
  <si>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</si>
  <si>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</si>
  <si>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</si>
  <si>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</si>
  <si>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</si>
  <si>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</si>
  <si>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</si>
  <si>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</si>
  <si>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</si>
  <si>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</si>
  <si>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</si>
  <si>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</si>
  <si>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</si>
  <si>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</si>
  <si>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</si>
  <si>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</si>
  <si>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</si>
  <si>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</si>
  <si>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</si>
  <si>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</si>
  <si>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</si>
  <si>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</si>
  <si>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</si>
  <si>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</si>
  <si>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</si>
  <si>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</si>
  <si>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</si>
  <si>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</si>
  <si>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</si>
  <si>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</si>
  <si>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</si>
  <si>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</si>
  <si>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</si>
  <si>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</si>
  <si>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</si>
  <si>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</si>
  <si>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</si>
  <si>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</si>
  <si>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</si>
  <si>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</si>
  <si>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</si>
  <si>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</si>
  <si>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</si>
  <si>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</si>
  <si>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</si>
  <si>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</si>
  <si>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</si>
  <si>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</si>
  <si>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</si>
  <si>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</si>
  <si>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</si>
  <si>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</si>
  <si>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</si>
  <si>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</si>
  <si>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</si>
  <si>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</si>
  <si>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</si>
  <si>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</si>
  <si>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</si>
  <si>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</si>
  <si>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</si>
  <si>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</si>
  <si>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</si>
  <si>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</si>
  <si>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</si>
  <si>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</si>
  <si>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</si>
  <si>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</si>
  <si>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</si>
  <si>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</si>
  <si>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</si>
  <si>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</si>
  <si>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</si>
  <si>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</si>
  <si>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</si>
  <si>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</si>
  <si>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</si>
  <si>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</si>
  <si>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</si>
  <si>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</si>
  <si>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</si>
  <si>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</si>
  <si>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</si>
  <si>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</si>
  <si>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</si>
  <si>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</si>
  <si>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</si>
  <si>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</si>
  <si>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</si>
  <si>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</si>
  <si>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</si>
  <si>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</si>
  <si>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</si>
  <si>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</si>
  <si>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</si>
  <si>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</si>
  <si>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</si>
  <si>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</si>
  <si>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</si>
  <si>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</si>
  <si>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</si>
  <si>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</si>
  <si>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</si>
  <si>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</si>
  <si>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</si>
  <si>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</si>
  <si>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</si>
  <si>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</si>
  <si>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</si>
  <si>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</si>
  <si>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</si>
  <si>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</si>
  <si>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</si>
  <si>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</si>
  <si>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</si>
  <si>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</si>
  <si>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</si>
  <si>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</si>
  <si>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</si>
  <si>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</si>
  <si>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</si>
  <si>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</si>
  <si>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</si>
  <si>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</si>
  <si>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</si>
  <si>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</si>
  <si>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</si>
  <si>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</si>
  <si>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</si>
  <si>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</si>
  <si>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</si>
  <si>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</si>
  <si>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</si>
  <si>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</si>
  <si>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</si>
  <si>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</si>
  <si>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</si>
  <si>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</si>
  <si>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</si>
  <si>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</si>
  <si>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</si>
  <si>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</si>
  <si>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</si>
  <si>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</si>
  <si>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</si>
  <si>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</si>
  <si>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</si>
  <si>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</si>
  <si>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</si>
  <si>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</si>
  <si>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</si>
  <si>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</si>
  <si>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</si>
  <si>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</si>
  <si>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</si>
  <si>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</si>
  <si>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</si>
  <si>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</si>
  <si>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</si>
  <si>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</si>
  <si>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</si>
  <si>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</si>
  <si>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</si>
  <si>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</si>
  <si>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</si>
  <si>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</si>
  <si>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</si>
  <si>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</si>
  <si>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</si>
  <si>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</si>
  <si>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</si>
  <si>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</si>
  <si>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</si>
  <si>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</si>
  <si>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</si>
  <si>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</si>
  <si>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</si>
  <si>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</si>
  <si>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</si>
  <si>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</si>
  <si>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</si>
  <si>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</si>
  <si>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</si>
  <si>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</si>
  <si>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</si>
  <si>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</si>
  <si>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</si>
  <si>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</si>
  <si>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</si>
  <si>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</si>
  <si>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</si>
  <si>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</si>
  <si>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</si>
  <si>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</si>
  <si>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</si>
  <si>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</si>
  <si>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</si>
  <si>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</si>
  <si>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</si>
  <si>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</si>
  <si>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</si>
  <si>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</si>
  <si>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</si>
  <si>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</si>
  <si>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</si>
  <si>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</si>
  <si>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</si>
  <si>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</si>
  <si>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</si>
  <si>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</si>
  <si>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</si>
  <si>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</si>
  <si>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</si>
  <si>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</si>
  <si>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</si>
  <si>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</si>
  <si>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</si>
  <si>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</si>
  <si>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</si>
  <si>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</si>
  <si>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</si>
  <si>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</si>
  <si>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</si>
  <si>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</si>
  <si>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</si>
  <si>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</si>
  <si>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</si>
  <si>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</si>
  <si>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</si>
  <si>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</si>
  <si>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</si>
  <si>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</si>
  <si>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</si>
  <si>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</si>
  <si>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</si>
  <si>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</si>
  <si>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</si>
  <si>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</si>
  <si>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</si>
  <si>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</si>
  <si>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</si>
  <si>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</si>
  <si>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</si>
  <si>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</si>
  <si>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</si>
  <si>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</si>
  <si>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</si>
  <si>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</si>
  <si>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</si>
  <si>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</si>
  <si>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</si>
  <si>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</si>
  <si>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</si>
  <si>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</si>
  <si>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</si>
  <si>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</si>
  <si>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</si>
  <si>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</si>
  <si>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</si>
  <si>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</si>
  <si>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</si>
  <si>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</si>
  <si>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</si>
  <si>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</si>
  <si>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</si>
  <si>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</si>
  <si>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</si>
  <si>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</si>
  <si>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</si>
  <si>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</si>
  <si>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</si>
  <si>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</si>
  <si>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</si>
  <si>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</si>
  <si>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</si>
  <si>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</si>
  <si>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</si>
  <si>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</si>
  <si>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</si>
  <si>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</si>
  <si>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</si>
  <si>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</si>
  <si>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</si>
  <si>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</si>
  <si>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</si>
  <si>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</si>
  <si>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</si>
  <si>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</si>
  <si>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</si>
  <si>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</si>
  <si>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</si>
  <si>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</si>
  <si>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</si>
  <si>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</si>
  <si>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</si>
  <si>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</si>
  <si>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</si>
  <si>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</si>
  <si>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</si>
  <si>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</si>
  <si>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</si>
  <si>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</si>
  <si>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</si>
  <si>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</si>
  <si>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</si>
  <si>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</si>
  <si>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</si>
  <si>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</si>
  <si>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</si>
  <si>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</si>
  <si>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</si>
  <si>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</si>
  <si>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</si>
  <si>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</si>
  <si>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</si>
  <si>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</si>
  <si>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</si>
  <si>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</si>
  <si>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</si>
  <si>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</si>
  <si>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</si>
  <si>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</si>
  <si>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</si>
  <si>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</si>
  <si>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</si>
  <si>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</si>
  <si>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</si>
  <si>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</si>
  <si>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</si>
  <si>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</si>
  <si>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</si>
  <si>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</si>
  <si>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</si>
  <si>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</si>
  <si>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</si>
  <si>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</si>
  <si>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</si>
  <si>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</si>
  <si>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</si>
  <si>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</si>
  <si>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</si>
  <si>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</si>
  <si>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</si>
  <si>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</si>
  <si>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</si>
  <si>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</si>
  <si>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</si>
  <si>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</si>
  <si>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</si>
  <si>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</si>
  <si>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</si>
  <si>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</si>
  <si>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</si>
  <si>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</si>
  <si>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</si>
  <si>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</si>
  <si>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</si>
  <si>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</si>
  <si>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</si>
  <si>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</si>
  <si>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</si>
  <si>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</si>
  <si>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</si>
  <si>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</si>
  <si>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</si>
  <si>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</si>
  <si>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</si>
  <si>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</si>
  <si>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</si>
  <si>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</si>
  <si>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</si>
  <si>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</si>
  <si>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</si>
  <si>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</si>
  <si>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Май, 2023</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</si>
  <si>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</si>
  <si>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</si>
  <si>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</si>
  <si>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</si>
  <si>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</si>
  <si>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</si>
  <si>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</si>
  <si>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</si>
  <si>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</si>
  <si>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</si>
  <si>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</si>
  <si>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</si>
  <si>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</si>
  <si>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</si>
  <si>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</si>
  <si>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</si>
  <si>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</si>
  <si>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</si>
  <si>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</si>
  <si>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</si>
  <si>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</si>
  <si>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</si>
  <si>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</si>
  <si>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</si>
  <si>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</si>
  <si>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</si>
  <si>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</si>
  <si>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</si>
  <si>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</si>
  <si>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</si>
  <si>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</si>
  <si>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</si>
  <si>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</si>
  <si>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</si>
  <si>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</si>
  <si>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</si>
  <si>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</si>
  <si>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</si>
  <si>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</si>
  <si>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</si>
  <si>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</si>
  <si>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</si>
  <si>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</si>
  <si>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</si>
  <si>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</si>
  <si>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</si>
  <si>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</si>
  <si>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</si>
  <si>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</si>
  <si>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</si>
  <si>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</si>
  <si>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</si>
  <si>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</si>
  <si>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</si>
  <si>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</si>
  <si>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</si>
  <si>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</si>
  <si>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</si>
  <si>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</si>
  <si>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</si>
  <si>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</si>
  <si>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</si>
  <si>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</si>
  <si>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</si>
  <si>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</si>
  <si>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</si>
  <si>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</si>
  <si>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</si>
  <si>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</si>
  <si>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</si>
  <si>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</si>
  <si>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</si>
  <si>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</si>
  <si>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</si>
  <si>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</si>
  <si>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</si>
  <si>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</si>
  <si>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</si>
  <si>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</si>
  <si>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</si>
  <si>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</si>
  <si>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</si>
  <si>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</si>
  <si>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</si>
  <si>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</si>
  <si>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</si>
  <si>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</si>
  <si>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</si>
  <si>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</si>
  <si>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</si>
  <si>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</si>
  <si>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</si>
  <si>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</si>
  <si>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</si>
  <si>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</si>
  <si>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</si>
  <si>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</si>
  <si>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</si>
  <si>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</si>
  <si>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</si>
  <si>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</si>
  <si>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</si>
  <si>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</si>
  <si>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</si>
  <si>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</si>
  <si>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</si>
  <si>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</si>
  <si>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640773.05.01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</si>
  <si>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</si>
  <si>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</si>
  <si>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</si>
  <si>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</si>
  <si>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</si>
  <si>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</si>
  <si>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</si>
  <si>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</si>
  <si>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</si>
  <si>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</si>
  <si>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</si>
  <si>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</si>
  <si>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</si>
  <si>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</si>
  <si>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</si>
  <si>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</si>
  <si>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</si>
  <si>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</si>
  <si>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</si>
  <si>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</si>
  <si>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</si>
  <si>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</si>
  <si>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</si>
  <si>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</si>
  <si>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</si>
  <si>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</si>
  <si>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</si>
  <si>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</si>
  <si>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</si>
  <si>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</si>
  <si>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</si>
  <si>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</si>
  <si>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</si>
  <si>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</si>
  <si>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</si>
  <si>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</si>
  <si>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</si>
  <si>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</si>
  <si>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</si>
  <si>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</si>
  <si>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</si>
  <si>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</si>
  <si>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</si>
  <si>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</si>
  <si>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</si>
  <si>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</si>
  <si>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</si>
  <si>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</si>
  <si>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</si>
  <si>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</si>
  <si>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</si>
  <si>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</si>
  <si>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</si>
  <si>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</si>
  <si>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</si>
  <si>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</si>
  <si>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</si>
  <si>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</si>
  <si>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</si>
  <si>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</si>
  <si>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</si>
  <si>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</si>
  <si>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</si>
  <si>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</si>
  <si>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</si>
  <si>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</si>
  <si>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</si>
  <si>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</si>
  <si>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</si>
  <si>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</si>
  <si>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</si>
  <si>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</si>
  <si>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</si>
  <si>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</si>
  <si>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</si>
  <si>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</si>
  <si>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</si>
  <si>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</si>
  <si>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</si>
  <si>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</si>
  <si>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</si>
  <si>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</si>
  <si>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</si>
  <si>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</si>
  <si>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</si>
  <si>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</si>
  <si>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</si>
  <si>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</si>
  <si>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</si>
  <si>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</si>
  <si>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</si>
  <si>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</si>
  <si>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</si>
  <si>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</si>
  <si>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</si>
  <si>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</si>
  <si>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</si>
  <si>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</si>
  <si>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</si>
  <si>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</si>
  <si>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</si>
  <si>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</si>
  <si>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</si>
  <si>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</si>
  <si>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</si>
  <si>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</si>
  <si>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</si>
  <si>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</si>
  <si>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</si>
  <si>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</si>
  <si>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</si>
  <si>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</si>
  <si>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</si>
  <si>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</si>
  <si>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</si>
  <si>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</si>
  <si>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</si>
  <si>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</si>
  <si>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</si>
  <si>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</si>
  <si>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</si>
  <si>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</si>
  <si>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</si>
  <si>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</si>
  <si>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</si>
  <si>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</si>
  <si>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</si>
  <si>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</si>
  <si>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</si>
  <si>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</si>
  <si>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</si>
  <si>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</si>
  <si>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</si>
  <si>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</si>
  <si>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</si>
  <si>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</si>
  <si>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</si>
  <si>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</si>
  <si>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</si>
  <si>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</si>
  <si>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</si>
  <si>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</si>
  <si>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</si>
  <si>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</si>
  <si>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</si>
  <si>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</si>
  <si>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</si>
  <si>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</si>
  <si>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</si>
  <si>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</si>
  <si>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</si>
  <si>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</si>
  <si>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</si>
  <si>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</si>
  <si>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</si>
  <si>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</si>
  <si>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</si>
  <si>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</si>
  <si>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</si>
  <si>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</si>
  <si>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</si>
  <si>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</si>
  <si>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</si>
  <si>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</si>
  <si>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</si>
  <si>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</si>
  <si>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</si>
  <si>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</si>
  <si>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</si>
  <si>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</si>
  <si>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</si>
  <si>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</si>
  <si>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</si>
  <si>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</si>
  <si>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</si>
  <si>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</si>
  <si>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</si>
  <si>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</si>
  <si>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</si>
  <si>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</si>
  <si>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</si>
  <si>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</si>
  <si>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</si>
  <si>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</si>
  <si>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</si>
  <si>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</si>
  <si>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</si>
  <si>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</si>
  <si>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</si>
  <si>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</si>
  <si>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</si>
  <si>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</si>
  <si>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</si>
  <si>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</si>
  <si>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</si>
  <si>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</si>
  <si>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</si>
  <si>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</si>
  <si>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</si>
  <si>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</si>
  <si>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</si>
  <si>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</si>
  <si>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</si>
  <si>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</si>
  <si>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</si>
  <si>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</si>
  <si>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</si>
  <si>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</si>
  <si>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</si>
  <si>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</si>
  <si>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</si>
  <si>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</si>
  <si>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</si>
  <si>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</si>
  <si>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</si>
  <si>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</si>
  <si>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</si>
  <si>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</si>
  <si>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</si>
  <si>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</si>
  <si>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</si>
  <si>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</si>
  <si>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</si>
  <si>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</si>
  <si>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</si>
  <si>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</si>
  <si>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</si>
  <si>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</si>
  <si>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</si>
  <si>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</si>
  <si>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</si>
  <si>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</si>
  <si>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</si>
  <si>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</si>
  <si>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</si>
  <si>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</si>
  <si>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</si>
  <si>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</si>
  <si>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</si>
  <si>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</si>
  <si>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</si>
  <si>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</si>
  <si>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</si>
  <si>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</si>
  <si>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</si>
  <si>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</si>
  <si>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</si>
  <si>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</si>
  <si>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</si>
  <si>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</si>
  <si>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</si>
  <si>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</si>
  <si>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</si>
  <si>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</si>
  <si>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</si>
  <si>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</si>
  <si>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</si>
  <si>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</si>
  <si>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</si>
  <si>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</si>
  <si>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</si>
  <si>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</si>
  <si>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</si>
  <si>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</si>
  <si>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</si>
  <si>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</si>
  <si>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</si>
  <si>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</si>
  <si>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</si>
  <si>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</si>
  <si>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</si>
  <si>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</si>
  <si>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</si>
  <si>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</si>
  <si>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</si>
  <si>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</si>
  <si>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</si>
  <si>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</si>
  <si>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</si>
  <si>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</si>
  <si>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</si>
  <si>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</si>
  <si>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</si>
  <si>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</si>
  <si>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</si>
  <si>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</si>
  <si>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</si>
  <si>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</si>
  <si>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</si>
  <si>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</si>
  <si>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</si>
  <si>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</si>
  <si>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</si>
  <si>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</si>
  <si>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</si>
  <si>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</si>
  <si>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</si>
  <si>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</si>
  <si>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</si>
  <si>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</si>
  <si>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</si>
  <si>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</si>
  <si>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</si>
  <si>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</si>
  <si>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</si>
  <si>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</si>
  <si>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</si>
  <si>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</si>
  <si>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</si>
  <si>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</si>
  <si>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</si>
  <si>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</si>
  <si>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</si>
  <si>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</si>
  <si>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</si>
  <si>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</si>
  <si>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</si>
  <si>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</si>
  <si>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</si>
  <si>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</si>
  <si>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</si>
  <si>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</si>
  <si>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</si>
  <si>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</si>
  <si>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</si>
  <si>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</si>
  <si>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</si>
  <si>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</si>
  <si>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</si>
  <si>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</si>
  <si>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</si>
  <si>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</si>
  <si>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</si>
  <si>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</si>
  <si>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</si>
  <si>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</si>
  <si>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</si>
  <si>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</si>
  <si>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</si>
  <si>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</si>
  <si>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</si>
  <si>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</si>
  <si>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</si>
  <si>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</si>
  <si>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</si>
  <si>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</si>
  <si>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</si>
  <si>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</si>
  <si>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</si>
  <si>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</si>
  <si>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</si>
  <si>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</si>
  <si>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</si>
  <si>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</si>
  <si>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</si>
  <si>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</si>
  <si>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</si>
  <si>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</si>
  <si>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</si>
  <si>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</si>
  <si>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</si>
  <si>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</si>
  <si>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</si>
  <si>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</si>
  <si>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</si>
  <si>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</si>
  <si>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</si>
  <si>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</si>
  <si>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</si>
  <si>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</si>
  <si>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</si>
  <si>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</si>
  <si>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40.02.02, 40.02.04, 40.03.01, 40.04.01, 40.05.01, 40.05.02, 40.05.03, 40.05.04, 44.03.01, 44.03.02, 44.03.03, 44.03.05, 44.04.01, 44.04.02, 44.04.03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</si>
  <si>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</si>
  <si>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</si>
  <si>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</si>
  <si>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</si>
  <si>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</si>
  <si>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</si>
  <si>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</si>
  <si>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</si>
  <si>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</si>
  <si>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</si>
  <si>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</si>
  <si>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</si>
  <si>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</si>
  <si>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</si>
  <si>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</si>
  <si>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</si>
  <si>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</si>
  <si>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</si>
  <si>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</si>
  <si>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</si>
  <si>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</si>
  <si>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</si>
  <si>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</si>
  <si>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</si>
  <si>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</si>
  <si>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</si>
  <si>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</si>
  <si>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</si>
  <si>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</si>
  <si>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</si>
  <si>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</si>
  <si>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</si>
  <si>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</si>
  <si>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</si>
  <si>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</si>
  <si>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</si>
  <si>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</si>
  <si>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</si>
  <si>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</si>
  <si>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</si>
  <si>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</si>
  <si>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</si>
  <si>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</si>
  <si>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</si>
  <si>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</si>
  <si>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</si>
  <si>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</si>
  <si>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</si>
  <si>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</si>
  <si>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</si>
  <si>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</si>
  <si>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</si>
  <si>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</si>
  <si>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</si>
  <si>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</si>
  <si>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</si>
  <si>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</si>
  <si>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</si>
  <si>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</si>
  <si>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</si>
  <si>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</si>
  <si>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</si>
  <si>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</si>
  <si>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</si>
  <si>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</si>
  <si>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</si>
  <si>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</si>
  <si>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</si>
  <si>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</si>
  <si>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</si>
  <si>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</si>
  <si>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</si>
  <si>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</si>
  <si>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</si>
  <si>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</si>
  <si>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</si>
  <si>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</si>
  <si>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</si>
  <si>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</si>
  <si>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</si>
  <si>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</si>
  <si>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</si>
  <si>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</si>
  <si>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</si>
  <si>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</si>
  <si>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</si>
  <si>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</si>
  <si>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</si>
  <si>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</si>
  <si>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</si>
  <si>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</si>
  <si>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</si>
  <si>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</si>
  <si>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</si>
  <si>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</si>
  <si>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</si>
  <si>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</si>
  <si>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</si>
  <si>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</si>
  <si>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</si>
  <si>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</si>
  <si>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</si>
  <si>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</si>
  <si>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</si>
  <si>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</si>
  <si>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</si>
  <si>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</si>
  <si>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</si>
  <si>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</si>
  <si>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</si>
  <si>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</si>
  <si>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</si>
  <si>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</si>
  <si>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</si>
  <si>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</si>
  <si>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</si>
  <si>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</si>
  <si>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</si>
  <si>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</si>
  <si>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</si>
  <si>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</si>
  <si>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</si>
  <si>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</si>
  <si>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</si>
  <si>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</si>
  <si>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</si>
  <si>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</si>
  <si>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</si>
  <si>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</si>
  <si>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</si>
  <si>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</si>
  <si>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</si>
  <si>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</si>
  <si>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</si>
  <si>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</si>
  <si>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</si>
  <si>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</si>
  <si>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</si>
  <si>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</si>
  <si>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</si>
  <si>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</si>
  <si>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</si>
  <si>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</si>
  <si>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</si>
  <si>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</si>
  <si>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</si>
  <si>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</si>
  <si>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</si>
  <si>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</si>
  <si>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</si>
  <si>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</si>
  <si>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</si>
  <si>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</si>
  <si>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</si>
  <si>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</si>
  <si>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</si>
  <si>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</si>
  <si>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</si>
  <si>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</si>
  <si>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</si>
  <si>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</si>
  <si>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</si>
  <si>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</si>
  <si>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</si>
  <si>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</si>
  <si>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</si>
  <si>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</si>
  <si>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</si>
  <si>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</si>
  <si>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</si>
  <si>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</si>
  <si>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</si>
  <si>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</si>
  <si>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</si>
  <si>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</si>
  <si>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</si>
  <si>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</si>
  <si>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</si>
  <si>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</si>
  <si>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</si>
  <si>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</si>
  <si>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</si>
  <si>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</si>
  <si>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</si>
  <si>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</si>
  <si>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</si>
  <si>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</si>
  <si>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</si>
  <si>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</si>
  <si>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</si>
  <si>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</si>
  <si>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</si>
  <si>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</si>
  <si>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</si>
  <si>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</si>
  <si>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</si>
  <si>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</si>
  <si>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</si>
  <si>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</si>
  <si>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</si>
  <si>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</si>
  <si>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</si>
  <si>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</si>
  <si>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</si>
  <si>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</si>
  <si>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</si>
  <si>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</si>
  <si>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</si>
  <si>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</si>
  <si>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</si>
  <si>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</si>
  <si>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</si>
  <si>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</si>
  <si>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</si>
  <si>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</si>
  <si>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</si>
  <si>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</si>
  <si>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</si>
  <si>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</si>
  <si>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</si>
  <si>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</si>
  <si>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</si>
  <si>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</si>
  <si>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</si>
  <si>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</si>
  <si>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</si>
  <si>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</si>
  <si>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</si>
  <si>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</si>
  <si>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</si>
  <si>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</si>
  <si>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</si>
  <si>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</si>
  <si>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</si>
  <si>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</si>
  <si>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</si>
  <si>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</si>
  <si>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</si>
  <si>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</si>
  <si>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</si>
  <si>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</si>
  <si>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</si>
  <si>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</si>
  <si>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</si>
  <si>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</si>
  <si>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</si>
  <si>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</si>
  <si>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</si>
  <si>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</si>
  <si>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</si>
  <si>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</si>
  <si>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</si>
  <si>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</si>
  <si>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</si>
  <si>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</si>
  <si>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</si>
  <si>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</si>
  <si>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</si>
  <si>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</si>
  <si>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</si>
  <si>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</si>
  <si>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</si>
  <si>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</si>
  <si>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</si>
  <si>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</si>
  <si>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</si>
  <si>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</si>
  <si>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</si>
  <si>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</si>
  <si>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</si>
  <si>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</si>
  <si>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</si>
  <si>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</si>
  <si>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</si>
  <si>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</si>
  <si>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</si>
  <si>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</si>
  <si>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</si>
  <si>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</si>
  <si>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</si>
  <si>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</si>
  <si>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</si>
  <si>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</si>
  <si>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</si>
  <si>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</si>
  <si>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</si>
  <si>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</si>
  <si>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</si>
  <si>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</si>
  <si>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</si>
  <si>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</si>
  <si>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</si>
  <si>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</si>
  <si>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</si>
  <si>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</si>
  <si>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</si>
  <si>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</si>
  <si>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</si>
  <si>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</si>
  <si>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</si>
  <si>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</si>
  <si>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</si>
  <si>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</si>
  <si>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</si>
  <si>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</si>
  <si>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</si>
  <si>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</si>
  <si>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</si>
  <si>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</si>
  <si>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</si>
  <si>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</si>
  <si>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</si>
  <si>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</si>
  <si>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</si>
  <si>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</si>
  <si>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</si>
  <si>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</si>
  <si>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</si>
  <si>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</si>
  <si>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</si>
  <si>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</si>
  <si>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</si>
  <si>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</si>
  <si>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</si>
  <si>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</si>
  <si>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</si>
  <si>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</si>
  <si>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</si>
  <si>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</si>
  <si>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</si>
  <si>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</si>
  <si>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</si>
  <si>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</si>
  <si>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</si>
  <si>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</si>
  <si>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</si>
  <si>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</si>
  <si>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</si>
  <si>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</si>
  <si>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</si>
  <si>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</si>
  <si>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</si>
  <si>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</si>
  <si>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</si>
  <si>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</si>
  <si>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</si>
  <si>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</si>
  <si>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</si>
  <si>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</si>
  <si>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</si>
  <si>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</si>
  <si>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</si>
  <si>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</si>
  <si>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</si>
  <si>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</si>
  <si>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</si>
  <si>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</si>
  <si>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</si>
  <si>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</si>
  <si>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</si>
  <si>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</si>
  <si>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</si>
  <si>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</si>
  <si>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</si>
  <si>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</si>
  <si>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</si>
  <si>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</si>
  <si>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</si>
  <si>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</si>
  <si>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</si>
  <si>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</si>
  <si>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</si>
  <si>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</si>
  <si>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</si>
  <si>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</si>
  <si>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</si>
  <si>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</si>
  <si>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</si>
  <si>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</si>
  <si>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</si>
  <si>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</si>
  <si>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</si>
  <si>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</si>
  <si>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</si>
  <si>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</si>
  <si>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</si>
  <si>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</si>
  <si>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</si>
  <si>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</si>
  <si>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</si>
  <si>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</si>
  <si>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</si>
  <si>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</si>
  <si>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</si>
  <si>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</si>
  <si>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</si>
  <si>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</si>
  <si>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</si>
  <si>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</si>
  <si>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</si>
  <si>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</si>
  <si>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</si>
  <si>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</si>
  <si>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</si>
  <si>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</si>
  <si>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</si>
  <si>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</si>
  <si>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</si>
  <si>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</si>
  <si>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</si>
  <si>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</si>
  <si>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</si>
  <si>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</si>
  <si>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</si>
  <si>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</si>
  <si>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</si>
  <si>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</si>
  <si>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</si>
  <si>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</si>
  <si>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</si>
  <si>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</si>
  <si>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</si>
  <si>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</si>
  <si>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</si>
  <si>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</si>
  <si>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</si>
  <si>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</si>
  <si>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</si>
  <si>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</si>
  <si>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</si>
  <si>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</si>
  <si>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</si>
  <si>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</si>
  <si>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</si>
  <si>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</si>
  <si>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</si>
  <si>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</si>
  <si>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</si>
  <si>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</si>
  <si>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</si>
  <si>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</si>
  <si>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</si>
  <si>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</si>
  <si>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</si>
  <si>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</si>
  <si>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</si>
  <si>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</si>
  <si>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</si>
  <si>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</si>
  <si>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</si>
  <si>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</si>
  <si>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</si>
  <si>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</si>
  <si>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</si>
  <si>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</si>
  <si>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</si>
  <si>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</si>
  <si>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</si>
  <si>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</si>
  <si>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</si>
  <si>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</si>
  <si>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</si>
  <si>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</si>
  <si>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</si>
  <si>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</si>
  <si>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</si>
  <si>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</si>
  <si>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</si>
  <si>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</si>
  <si>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</si>
  <si>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</si>
  <si>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</si>
  <si>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</si>
  <si>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</si>
  <si>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</si>
  <si>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</si>
  <si>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</si>
  <si>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</si>
  <si>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</si>
  <si>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</si>
  <si>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</si>
  <si>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</si>
  <si>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</si>
  <si>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</si>
  <si>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</si>
  <si>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</si>
  <si>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</si>
  <si>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</si>
  <si>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</si>
  <si>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</si>
  <si>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</si>
  <si>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</si>
  <si>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</si>
  <si>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</si>
  <si>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</si>
  <si>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</si>
  <si>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</si>
  <si>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</si>
  <si>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</si>
  <si>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</si>
  <si>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</si>
  <si>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</si>
  <si>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</si>
  <si>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</si>
  <si>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</si>
  <si>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</si>
  <si>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</si>
  <si>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</si>
  <si>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</si>
  <si>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</si>
  <si>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</si>
  <si>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</si>
  <si>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</si>
  <si>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</si>
  <si>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</si>
  <si>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</si>
  <si>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</si>
  <si>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</si>
  <si>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</si>
  <si>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</si>
  <si>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</si>
  <si>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</si>
  <si>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</si>
  <si>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</si>
  <si>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</si>
  <si>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</si>
  <si>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</si>
  <si>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</si>
  <si>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</si>
  <si>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</si>
  <si>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</si>
  <si>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</si>
  <si>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</si>
  <si>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</si>
  <si>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</si>
  <si>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</si>
  <si>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</si>
  <si>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</si>
  <si>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</si>
  <si>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</si>
  <si>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</si>
  <si>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</si>
  <si>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</si>
  <si>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</si>
  <si>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</si>
  <si>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</si>
  <si>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</si>
  <si>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</si>
  <si>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</si>
  <si>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</si>
  <si>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</si>
  <si>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</si>
  <si>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</si>
  <si>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</si>
  <si>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</si>
  <si>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</si>
  <si>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</si>
  <si>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</si>
  <si>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</si>
  <si>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</si>
  <si>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</si>
  <si>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</si>
  <si>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</si>
  <si>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</si>
  <si>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</si>
  <si>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</si>
  <si>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</si>
  <si>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</si>
  <si>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</si>
  <si>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</si>
  <si>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</si>
  <si>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</si>
  <si>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</si>
  <si>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</si>
  <si>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</si>
  <si>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</si>
  <si>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</si>
  <si>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</si>
  <si>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</si>
  <si>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</si>
  <si>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</si>
  <si>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</si>
  <si>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</si>
  <si>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</si>
  <si>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</si>
  <si>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</si>
  <si>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</si>
  <si>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</si>
  <si>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</si>
  <si>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</si>
  <si>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</si>
  <si>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</si>
  <si>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</si>
  <si>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</si>
  <si>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</si>
  <si>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</si>
  <si>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</si>
  <si>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</si>
  <si>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</si>
  <si>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</si>
  <si>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</si>
  <si>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</si>
  <si>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</si>
  <si>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</si>
  <si>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</si>
  <si>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</si>
  <si>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</si>
  <si>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</si>
  <si>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</si>
  <si>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</si>
  <si>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</si>
  <si>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</si>
  <si>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</si>
  <si>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</si>
  <si>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</si>
  <si>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</si>
  <si>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</si>
  <si>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</si>
  <si>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</si>
  <si>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</si>
  <si>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</si>
  <si>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</si>
  <si>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</si>
  <si>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</si>
  <si>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</si>
  <si>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</si>
  <si>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</si>
  <si>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</si>
  <si>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</si>
  <si>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</si>
  <si>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</si>
  <si>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</si>
  <si>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</si>
  <si>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</si>
  <si>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</si>
  <si>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</si>
  <si>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</si>
  <si>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</si>
  <si>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</si>
  <si>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</si>
  <si>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</si>
  <si>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</si>
  <si>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</si>
  <si>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</si>
  <si>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</si>
  <si>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</si>
  <si>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</si>
  <si>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</si>
  <si>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</si>
  <si>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</si>
  <si>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</si>
  <si>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</si>
  <si>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</si>
  <si>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</si>
  <si>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</si>
  <si>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</si>
  <si>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</si>
  <si>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</si>
  <si>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</si>
  <si>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</si>
  <si>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</si>
  <si>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</si>
  <si>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</si>
  <si>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</si>
  <si>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</si>
  <si>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</si>
  <si>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</si>
  <si>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</si>
  <si>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</si>
  <si>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</si>
  <si>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</si>
  <si>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</si>
  <si>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</si>
  <si>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</si>
  <si>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</si>
  <si>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</si>
  <si>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</si>
  <si>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</si>
  <si>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</si>
  <si>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</si>
  <si>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</si>
  <si>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</si>
  <si>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</si>
  <si>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</si>
  <si>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</si>
  <si>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</si>
  <si>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</si>
  <si>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</si>
  <si>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</si>
  <si>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</si>
  <si>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</si>
  <si>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</si>
  <si>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</si>
  <si>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</si>
  <si>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</si>
  <si>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</si>
  <si>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</si>
  <si>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</si>
  <si>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</si>
  <si>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</si>
  <si>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</si>
  <si>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</si>
  <si>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</si>
  <si>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</si>
  <si>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</si>
  <si>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</si>
  <si>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</si>
  <si>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</si>
  <si>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</si>
  <si>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</si>
  <si>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</si>
  <si>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</si>
  <si>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</si>
  <si>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</si>
  <si>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</si>
  <si>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</si>
  <si>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</si>
  <si>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</si>
  <si>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</si>
  <si>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</si>
  <si>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</si>
  <si>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</si>
  <si>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</si>
  <si>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</si>
  <si>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</si>
  <si>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</si>
  <si>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</si>
  <si>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</si>
  <si>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</si>
  <si>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</si>
  <si>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</si>
  <si>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</si>
  <si>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</si>
  <si>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</si>
  <si>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</si>
  <si>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</si>
  <si>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</si>
  <si>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</si>
  <si>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</si>
  <si>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</si>
  <si>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</si>
  <si>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</si>
  <si>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</si>
  <si>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</si>
  <si>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</si>
  <si>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</si>
  <si>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</si>
  <si>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</si>
  <si>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</si>
  <si>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</si>
  <si>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</si>
  <si>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</si>
  <si>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</si>
  <si>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</si>
  <si>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</si>
  <si>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</si>
  <si>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</si>
  <si>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</si>
  <si>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</si>
  <si>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</si>
  <si>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</si>
  <si>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</si>
  <si>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</si>
  <si>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</si>
  <si>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</si>
  <si>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</si>
  <si>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</si>
  <si>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</si>
  <si>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</si>
  <si>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</si>
  <si>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</si>
  <si>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</si>
  <si>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</si>
  <si>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</si>
  <si>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</si>
  <si>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</si>
  <si>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</si>
  <si>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</si>
  <si>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</si>
  <si>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</si>
  <si>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</si>
  <si>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</si>
  <si>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</si>
  <si>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</si>
  <si>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</si>
  <si>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</si>
  <si>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</si>
  <si>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</si>
  <si>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</si>
  <si>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</si>
  <si>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</si>
  <si>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</si>
  <si>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</si>
  <si>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</si>
  <si>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</si>
  <si>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</si>
  <si>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</si>
  <si>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</si>
  <si>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</si>
  <si>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</si>
  <si>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</si>
  <si>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</si>
  <si>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</si>
  <si>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</si>
  <si>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</si>
  <si>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</si>
  <si>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</si>
  <si>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</si>
  <si>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</si>
  <si>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</si>
  <si>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</si>
  <si>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</si>
  <si>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</si>
  <si>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</si>
  <si>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</si>
  <si>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</si>
  <si>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</si>
  <si>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</si>
  <si>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</si>
  <si>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</si>
  <si>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</si>
  <si>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</si>
  <si>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</si>
  <si>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</si>
  <si>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</si>
  <si>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</si>
  <si>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</si>
  <si>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</si>
  <si>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</si>
  <si>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</si>
  <si>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</si>
  <si>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</si>
  <si>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</si>
  <si>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</si>
  <si>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</si>
  <si>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</si>
  <si>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</si>
  <si>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</si>
  <si>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</si>
  <si>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</si>
  <si>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</si>
  <si>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</si>
  <si>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</si>
  <si>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</si>
  <si>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</si>
  <si>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</si>
  <si>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</si>
  <si>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</si>
  <si>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</si>
  <si>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</si>
  <si>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</si>
  <si>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</si>
  <si>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</si>
  <si>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</si>
  <si>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</si>
  <si>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</si>
  <si>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</si>
  <si>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</si>
  <si>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</si>
  <si>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</si>
  <si>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</si>
  <si>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</si>
  <si>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</si>
  <si>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</si>
  <si>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</si>
  <si>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</si>
  <si>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</si>
  <si>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</si>
  <si>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</si>
  <si>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</si>
  <si>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</si>
  <si>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</si>
  <si>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</si>
  <si>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</si>
  <si>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</si>
  <si>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</si>
  <si>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</si>
  <si>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</si>
  <si>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</si>
  <si>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</si>
  <si>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</si>
  <si>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</si>
  <si>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</si>
  <si>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</si>
  <si>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</si>
  <si>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</si>
  <si>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</si>
  <si>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</si>
  <si>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</si>
  <si>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</si>
  <si>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</si>
  <si>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</si>
  <si>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</si>
  <si>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</si>
  <si>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</si>
  <si>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</si>
  <si>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</si>
  <si>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</si>
  <si>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</si>
  <si>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</si>
  <si>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</si>
  <si>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</si>
  <si>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</si>
  <si>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</si>
  <si>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</si>
  <si>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</si>
  <si>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</si>
  <si>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</si>
  <si>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</si>
  <si>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</si>
  <si>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</si>
  <si>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</si>
  <si>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</si>
  <si>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</si>
  <si>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</si>
  <si>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</si>
  <si>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</si>
  <si>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</si>
  <si>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</si>
  <si>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</si>
  <si>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</si>
  <si>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</si>
  <si>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</si>
  <si>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</si>
  <si>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</si>
  <si>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</si>
  <si>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</si>
  <si>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</si>
  <si>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</si>
  <si>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</si>
  <si>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</si>
  <si>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</si>
  <si>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</si>
  <si>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</si>
  <si>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</si>
  <si>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</si>
  <si>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</si>
  <si>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</si>
  <si>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</si>
  <si>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</si>
  <si>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</si>
  <si>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</si>
  <si>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</si>
  <si>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</si>
  <si>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</si>
  <si>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</si>
  <si>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</si>
  <si>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</si>
  <si>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</si>
  <si>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</si>
  <si>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</si>
  <si>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</si>
  <si>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</si>
  <si>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</si>
  <si>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</si>
  <si>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</si>
  <si>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</si>
  <si>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</si>
  <si>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</si>
  <si>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</si>
  <si>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</si>
  <si>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</si>
  <si>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</si>
  <si>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</si>
  <si>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</si>
  <si>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</si>
  <si>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</si>
  <si>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</si>
  <si>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</si>
  <si>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</si>
  <si>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</si>
  <si>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</si>
  <si>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</si>
  <si>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</si>
  <si>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</si>
  <si>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</si>
  <si>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</si>
  <si>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</si>
  <si>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</si>
  <si>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</si>
  <si>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</si>
  <si>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</si>
  <si>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</si>
  <si>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</si>
  <si>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</si>
  <si>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</si>
  <si>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</si>
  <si>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</si>
  <si>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</si>
  <si>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</si>
  <si>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</si>
  <si>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</si>
  <si>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</si>
  <si>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</si>
  <si>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</si>
  <si>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</si>
  <si>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</si>
  <si>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</si>
  <si>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</si>
  <si>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</si>
  <si>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</si>
  <si>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</si>
  <si>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</si>
  <si>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</si>
  <si>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</si>
  <si>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</si>
  <si>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</si>
  <si>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</si>
  <si>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</si>
  <si>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</si>
  <si>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</si>
  <si>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</si>
  <si>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</si>
  <si>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</si>
  <si>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</si>
  <si>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</si>
  <si>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</si>
  <si>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</si>
  <si>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</si>
  <si>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</si>
  <si>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</si>
  <si>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</si>
  <si>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</si>
  <si>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</si>
  <si>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</si>
  <si>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</si>
  <si>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</si>
  <si>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</si>
  <si>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</si>
  <si>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</si>
  <si>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</si>
  <si>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</si>
  <si>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</si>
  <si>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</si>
  <si>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</si>
  <si>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</si>
  <si>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</si>
  <si>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</si>
  <si>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</si>
  <si>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</si>
  <si>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</si>
  <si>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</si>
  <si>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</si>
  <si>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</si>
  <si>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</si>
  <si>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</si>
  <si>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</si>
  <si>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</si>
  <si>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</si>
  <si>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</si>
  <si>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</si>
  <si>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</si>
  <si>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</si>
  <si>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</si>
  <si>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</si>
  <si>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</si>
  <si>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</si>
  <si>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</si>
  <si>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</si>
  <si>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</si>
  <si>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</si>
  <si>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</si>
  <si>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</si>
  <si>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</si>
  <si>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</si>
  <si>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</si>
  <si>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</si>
  <si>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</si>
  <si>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</si>
  <si>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</si>
  <si>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</si>
  <si>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</si>
  <si>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</si>
  <si>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</si>
  <si>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</si>
  <si>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</si>
  <si>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</si>
  <si>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</si>
  <si>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</si>
  <si>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</si>
  <si>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</si>
  <si>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</si>
  <si>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</si>
  <si>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</si>
  <si>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</si>
  <si>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</si>
  <si>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</si>
  <si>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</si>
  <si>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</si>
  <si>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</si>
  <si>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</si>
  <si>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</si>
  <si>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</si>
  <si>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</si>
  <si>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</si>
  <si>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</si>
  <si>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</si>
  <si>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</si>
  <si>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</si>
  <si>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</si>
  <si>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</si>
  <si>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</si>
  <si>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</si>
  <si>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</si>
  <si>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</si>
  <si>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</si>
  <si>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</si>
  <si>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</si>
  <si>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</si>
  <si>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</si>
  <si>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</si>
  <si>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</si>
  <si>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</si>
  <si>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</si>
  <si>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</si>
  <si>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</si>
  <si>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</si>
  <si>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</si>
  <si>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</si>
  <si>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</si>
  <si>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</si>
  <si>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</si>
  <si>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</si>
  <si>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</si>
  <si>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</si>
  <si>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</si>
  <si>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</si>
  <si>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</si>
  <si>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</si>
  <si>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</si>
  <si>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</si>
  <si>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</si>
  <si>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</si>
  <si>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</si>
  <si>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</si>
  <si>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</si>
  <si>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</si>
  <si>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</si>
  <si>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</si>
  <si>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</si>
  <si>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</si>
  <si>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</si>
  <si>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</si>
  <si>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</si>
  <si>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</si>
  <si>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</si>
  <si>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</si>
  <si>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</si>
  <si>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</si>
  <si>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</si>
  <si>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</si>
  <si>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</si>
  <si>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</si>
  <si>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</si>
  <si>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</si>
  <si>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</si>
  <si>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</si>
  <si>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</si>
  <si>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</si>
  <si>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</si>
  <si>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</si>
  <si>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</si>
  <si>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</si>
  <si>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</si>
  <si>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</si>
  <si>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</si>
  <si>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</si>
  <si>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</si>
  <si>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</si>
  <si>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</si>
  <si>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</si>
  <si>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</si>
  <si>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</si>
  <si>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</si>
  <si>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</si>
  <si>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</si>
  <si>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</si>
  <si>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</si>
  <si>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</si>
  <si>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</si>
  <si>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</si>
  <si>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</si>
  <si>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</si>
  <si>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</si>
  <si>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</si>
  <si>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</si>
  <si>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</si>
  <si>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</si>
  <si>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</si>
  <si>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</si>
  <si>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</si>
  <si>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</si>
  <si>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</si>
  <si>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</si>
  <si>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</si>
  <si>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</si>
  <si>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</si>
  <si>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</si>
  <si>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</si>
  <si>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</si>
  <si>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</si>
  <si>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</si>
  <si>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</si>
  <si>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</si>
  <si>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</si>
  <si>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</si>
  <si>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</si>
  <si>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</si>
  <si>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</si>
  <si>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</si>
  <si>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</si>
  <si>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</si>
  <si>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</si>
  <si>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</si>
  <si>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</si>
  <si>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</si>
  <si>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</si>
  <si>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</si>
  <si>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</si>
  <si>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</si>
  <si>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</si>
  <si>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</si>
  <si>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</si>
  <si>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</si>
  <si>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</si>
  <si>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</si>
  <si>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</si>
  <si>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</si>
  <si>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</si>
  <si>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</si>
  <si>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</si>
  <si>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</si>
  <si>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</si>
  <si>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</si>
  <si>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</si>
  <si>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</si>
  <si>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</si>
  <si>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</si>
  <si>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</si>
  <si>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</si>
  <si>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</si>
  <si>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</si>
  <si>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</si>
  <si>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</si>
  <si>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</si>
  <si>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</si>
  <si>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</si>
  <si>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</si>
  <si>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</si>
  <si>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</si>
  <si>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</si>
  <si>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</si>
  <si>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</si>
  <si>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</si>
  <si>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</si>
  <si>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</si>
  <si>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</si>
  <si>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</si>
  <si>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</si>
  <si>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</si>
  <si>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</si>
  <si>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</si>
  <si>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</si>
  <si>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</si>
  <si>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</si>
  <si>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</si>
  <si>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</si>
  <si>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</si>
  <si>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</si>
  <si>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</si>
  <si>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</si>
  <si>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</si>
  <si>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</si>
  <si>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</si>
  <si>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</si>
  <si>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</si>
  <si>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</si>
  <si>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</si>
  <si>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</si>
  <si>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</si>
  <si>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</si>
  <si>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</si>
  <si>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</si>
  <si>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</si>
  <si>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</si>
  <si>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</si>
  <si>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</si>
  <si>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</si>
  <si>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</si>
  <si>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</si>
  <si>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</si>
  <si>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</si>
  <si>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</si>
  <si>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</si>
  <si>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</si>
  <si>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</si>
  <si>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</si>
  <si>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</si>
  <si>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</si>
  <si>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</si>
  <si>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</si>
  <si>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</si>
  <si>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</si>
  <si>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</si>
  <si>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</si>
  <si>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</si>
  <si>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</si>
  <si>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</si>
  <si>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</si>
  <si>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</si>
  <si>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</si>
  <si>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</si>
  <si>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</si>
  <si>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</si>
  <si>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</si>
  <si>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</si>
  <si>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</si>
  <si>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</si>
  <si>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</si>
  <si>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</si>
  <si>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</si>
  <si>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</si>
  <si>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</si>
  <si>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</si>
  <si>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</si>
  <si>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</si>
  <si>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</si>
  <si>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</si>
  <si>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</si>
  <si>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</si>
  <si>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</si>
  <si>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</si>
  <si>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</si>
  <si>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</si>
  <si>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</si>
  <si>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</si>
  <si>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</si>
  <si>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</si>
  <si>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</si>
  <si>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</si>
  <si>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</si>
  <si>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</si>
  <si>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</si>
  <si>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</si>
  <si>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</si>
  <si>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</si>
  <si>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</si>
  <si>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</si>
  <si>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</si>
  <si>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</si>
  <si>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</si>
  <si>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</si>
  <si>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</si>
  <si>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</si>
  <si>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</si>
  <si>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</si>
  <si>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</si>
  <si>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</si>
  <si>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</si>
  <si>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</si>
  <si>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</si>
  <si>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</si>
  <si>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</si>
  <si>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</si>
  <si>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</si>
  <si>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</si>
  <si>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</si>
  <si>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</si>
  <si>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</si>
  <si>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</si>
  <si>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</si>
  <si>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</si>
  <si>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</si>
  <si>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</si>
  <si>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</si>
  <si>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</si>
  <si>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</si>
  <si>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</si>
  <si>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</si>
  <si>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</si>
  <si>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</si>
  <si>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</si>
  <si>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</si>
  <si>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</si>
  <si>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</si>
  <si>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</si>
  <si>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</si>
  <si>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</si>
  <si>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</si>
  <si>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</si>
  <si>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</si>
  <si>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</si>
  <si>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</si>
  <si>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</si>
  <si>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</si>
  <si>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</si>
  <si>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</si>
  <si>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</si>
  <si>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</si>
  <si>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</si>
  <si>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</si>
  <si>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</si>
  <si>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</si>
  <si>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</si>
  <si>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</si>
  <si>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</si>
  <si>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</si>
  <si>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</si>
  <si>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</si>
  <si>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</si>
  <si>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</si>
  <si>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</si>
  <si>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</si>
  <si>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</si>
  <si>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</si>
  <si>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</si>
  <si>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</si>
  <si>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</si>
  <si>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</si>
  <si>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</si>
  <si>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</si>
  <si>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</si>
  <si>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</si>
  <si>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</si>
  <si>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</si>
  <si>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</si>
  <si>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</si>
  <si>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</si>
  <si>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</si>
  <si>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</si>
  <si>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</si>
  <si>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</si>
  <si>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</si>
  <si>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</si>
  <si>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</si>
  <si>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</si>
  <si>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</si>
  <si>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</si>
  <si>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</si>
  <si>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</si>
  <si>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</si>
  <si>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</si>
  <si>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</si>
  <si>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</si>
  <si>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</si>
  <si>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</si>
  <si>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</si>
  <si>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</si>
  <si>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</si>
  <si>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</si>
  <si>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</si>
  <si>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</si>
  <si>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</si>
  <si>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</si>
  <si>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</si>
  <si>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</si>
  <si>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</si>
  <si>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</si>
  <si>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</si>
  <si>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</si>
  <si>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</si>
  <si>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</si>
  <si>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</si>
  <si>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</si>
  <si>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</si>
  <si>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</si>
  <si>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</si>
  <si>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</si>
  <si>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</si>
  <si>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</si>
  <si>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</si>
  <si>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</si>
  <si>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</si>
  <si>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</si>
  <si>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</si>
  <si>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</si>
  <si>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</si>
  <si>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</si>
  <si>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</si>
  <si>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</si>
  <si>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</si>
  <si>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</si>
  <si>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</si>
  <si>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</si>
  <si>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</si>
  <si>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</si>
  <si>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</si>
  <si>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</si>
  <si>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</si>
  <si>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</si>
  <si>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</si>
  <si>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</si>
  <si>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</si>
  <si>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</si>
  <si>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</si>
  <si>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</si>
  <si>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</si>
  <si>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</si>
  <si>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</si>
  <si>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</si>
  <si>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</si>
  <si>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</si>
  <si>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</si>
  <si>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</si>
  <si>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</si>
  <si>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</si>
  <si>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</si>
  <si>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</si>
  <si>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</si>
  <si>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</si>
  <si>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</si>
  <si>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</si>
  <si>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</si>
  <si>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</si>
  <si>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</si>
  <si>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</si>
  <si>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</si>
  <si>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</si>
  <si>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</si>
  <si>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</si>
  <si>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</si>
  <si>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</si>
  <si>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</si>
  <si>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</si>
  <si>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</si>
  <si>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</si>
  <si>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</si>
  <si>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</si>
  <si>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</si>
  <si>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</si>
  <si>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</si>
  <si>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</si>
  <si>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</si>
  <si>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</si>
  <si>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</si>
  <si>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</si>
  <si>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</si>
  <si>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</si>
  <si>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</si>
  <si>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</si>
  <si>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</si>
  <si>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</si>
  <si>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</si>
  <si>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</si>
  <si>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</si>
  <si>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</si>
  <si>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</si>
  <si>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</si>
  <si>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</si>
  <si>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</si>
  <si>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</si>
  <si>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</si>
  <si>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</si>
  <si>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</si>
  <si>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</si>
  <si>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</si>
  <si>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</si>
  <si>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</si>
  <si>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</si>
  <si>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</si>
  <si>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</si>
  <si>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</si>
  <si>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</si>
  <si>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</si>
  <si>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</si>
  <si>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</si>
  <si>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</si>
  <si>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</si>
  <si>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</si>
  <si>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</si>
  <si>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</si>
  <si>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</si>
  <si>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</si>
  <si>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</si>
  <si>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</si>
  <si>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</si>
  <si>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</si>
  <si>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</si>
  <si>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</si>
  <si>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</si>
  <si>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</si>
  <si>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</si>
  <si>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</si>
  <si>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</si>
  <si>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</si>
  <si>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</si>
  <si>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</si>
  <si>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</si>
  <si>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</si>
  <si>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</si>
  <si>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</si>
  <si>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</si>
  <si>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</si>
  <si>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</si>
  <si>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</si>
  <si>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</si>
  <si>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</si>
  <si>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</si>
  <si>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</si>
  <si>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</si>
  <si>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</si>
  <si>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</si>
  <si>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</si>
  <si>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</si>
  <si>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</si>
  <si>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</si>
  <si>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</si>
  <si>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</si>
  <si>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</si>
  <si>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</si>
  <si>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</si>
  <si>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</si>
  <si>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</si>
  <si>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</si>
  <si>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</si>
  <si>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</si>
  <si>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</si>
  <si>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</si>
  <si>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</si>
  <si>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</si>
  <si>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</si>
  <si>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</si>
  <si>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</si>
  <si>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</si>
  <si>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</si>
  <si>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</si>
  <si>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</si>
  <si>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</si>
  <si>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</si>
  <si>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</si>
  <si>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</si>
  <si>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</si>
  <si>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</si>
  <si>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</si>
  <si>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</si>
  <si>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</si>
  <si>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</si>
  <si>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</si>
  <si>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</si>
  <si>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</si>
  <si>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</si>
  <si>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</si>
  <si>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</si>
  <si>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</si>
  <si>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</si>
  <si>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</si>
  <si>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</si>
  <si>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</si>
  <si>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</si>
  <si>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</si>
  <si>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</si>
  <si>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</si>
  <si>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</si>
  <si>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</si>
  <si>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</si>
  <si>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</si>
  <si>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</si>
  <si>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</si>
  <si>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</si>
  <si>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</si>
  <si>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</si>
  <si>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</si>
  <si>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</si>
  <si>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</si>
  <si>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</si>
  <si>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</si>
  <si>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</si>
  <si>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</si>
  <si>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</si>
  <si>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</si>
  <si>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</si>
  <si>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</si>
  <si>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</si>
  <si>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</si>
  <si>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</si>
  <si>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</si>
  <si>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</si>
  <si>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</si>
  <si>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</si>
  <si>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</si>
  <si>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</si>
  <si>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</si>
  <si>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</si>
  <si>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</si>
  <si>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</si>
  <si>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</si>
  <si>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</si>
  <si>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</si>
  <si>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</si>
  <si>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</si>
  <si>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</si>
  <si>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</si>
  <si>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</si>
  <si>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</si>
  <si>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</si>
  <si>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</si>
  <si>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</si>
  <si>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</si>
  <si>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</si>
  <si>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</si>
  <si>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</si>
  <si>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</si>
  <si>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</si>
  <si>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</si>
  <si>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</si>
  <si>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</si>
  <si>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</si>
  <si>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</si>
  <si>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</si>
  <si>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</si>
  <si>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</si>
  <si>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</si>
  <si>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</si>
  <si>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</si>
  <si>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</si>
  <si>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</si>
  <si>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</si>
  <si>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</si>
  <si>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</si>
  <si>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</si>
  <si>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</si>
  <si>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</si>
  <si>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</si>
  <si>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</si>
  <si>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</si>
  <si>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</si>
  <si>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</si>
  <si>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</si>
  <si>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</si>
  <si>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</si>
  <si>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</si>
  <si>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</si>
  <si>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</si>
  <si>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</si>
  <si>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</si>
  <si>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</si>
  <si>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</si>
  <si>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</si>
  <si>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</si>
  <si>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</si>
  <si>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</si>
  <si>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</si>
  <si>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</si>
  <si>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</si>
  <si>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</si>
  <si>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</si>
  <si>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</si>
  <si>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</si>
  <si>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</si>
  <si>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</si>
  <si>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</si>
  <si>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</si>
  <si>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</si>
  <si>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</si>
  <si>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</si>
  <si>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</si>
  <si>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</si>
  <si>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</si>
  <si>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</si>
  <si>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</si>
  <si>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</si>
  <si>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</si>
  <si>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</si>
  <si>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</si>
  <si>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</si>
  <si>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</si>
  <si>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</si>
  <si>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</si>
  <si>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</si>
  <si>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</si>
  <si>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</si>
  <si>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</si>
  <si>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</si>
  <si>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</si>
  <si>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</si>
  <si>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</si>
  <si>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</si>
  <si>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</si>
  <si>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</si>
  <si>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</si>
  <si>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</si>
  <si>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</si>
  <si>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</si>
  <si>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</si>
  <si>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</si>
  <si>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</si>
  <si>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</si>
  <si>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</si>
  <si>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</si>
  <si>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</si>
  <si>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</si>
  <si>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</si>
  <si>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</si>
  <si>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</si>
  <si>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</si>
  <si>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</si>
  <si>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</si>
  <si>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</si>
  <si>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</si>
  <si>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</si>
  <si>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</si>
  <si>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</si>
  <si>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</si>
  <si>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</si>
  <si>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</si>
  <si>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</si>
  <si>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</si>
  <si>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</si>
  <si>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</si>
  <si>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</si>
  <si>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</si>
  <si>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</si>
  <si>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</si>
  <si>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</si>
  <si>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</si>
  <si>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</si>
  <si>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</si>
  <si>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</si>
  <si>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</si>
  <si>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</si>
  <si>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</si>
  <si>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</si>
  <si>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</si>
  <si>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</si>
  <si>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</si>
  <si>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</si>
  <si>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</si>
  <si>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</si>
  <si>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</si>
  <si>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</si>
  <si>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</si>
  <si>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</si>
  <si>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</si>
  <si>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</si>
  <si>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</si>
  <si>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</si>
  <si>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</si>
  <si>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</si>
  <si>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</si>
  <si>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</si>
  <si>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</si>
  <si>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</si>
  <si>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</si>
  <si>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</si>
  <si>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</si>
  <si>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</si>
  <si>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</si>
  <si>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</si>
  <si>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</si>
  <si>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</si>
  <si>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</si>
  <si>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</si>
  <si>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</si>
  <si>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</si>
  <si>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</si>
  <si>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</si>
  <si>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</si>
  <si>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</si>
  <si>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</si>
  <si>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</si>
  <si>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</si>
  <si>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</si>
  <si>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</si>
  <si>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</si>
  <si>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</si>
  <si>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</si>
  <si>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</si>
  <si>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</si>
  <si>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</si>
  <si>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</si>
  <si>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</si>
  <si>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</si>
  <si>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</si>
  <si>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</si>
  <si>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</si>
  <si>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</si>
  <si>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</si>
  <si>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</si>
  <si>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</si>
  <si>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</si>
  <si>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</si>
  <si>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</si>
  <si>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</si>
  <si>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</si>
  <si>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</si>
  <si>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</si>
  <si>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</si>
  <si>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</si>
  <si>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</si>
  <si>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</si>
  <si>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</si>
  <si>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</si>
  <si>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</si>
  <si>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</si>
  <si>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</si>
  <si>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</si>
  <si>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</si>
  <si>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</si>
  <si>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</si>
  <si>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</si>
  <si>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</si>
  <si>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</si>
  <si>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</si>
  <si>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</si>
  <si>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</si>
  <si>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</si>
  <si>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</si>
  <si>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</si>
  <si>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</si>
  <si>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</si>
  <si>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</si>
  <si>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</si>
  <si>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</si>
  <si>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</si>
  <si>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</si>
  <si>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</si>
  <si>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</si>
  <si>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</si>
  <si>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</si>
  <si>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</si>
  <si>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</si>
  <si>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</si>
  <si>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</si>
  <si>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</si>
  <si>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</si>
  <si>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</si>
  <si>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</si>
  <si>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</si>
  <si>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</si>
  <si>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</si>
  <si>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</si>
  <si>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</si>
  <si>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</si>
  <si>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</si>
  <si>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</si>
  <si>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</si>
  <si>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</si>
  <si>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</si>
  <si>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</si>
  <si>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</si>
  <si>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</si>
  <si>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</si>
  <si>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</si>
  <si>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</si>
  <si>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</si>
  <si>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</si>
  <si>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</si>
  <si>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</si>
  <si>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</si>
  <si>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</si>
  <si>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</si>
  <si>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</si>
  <si>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</si>
  <si>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</si>
  <si>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</si>
  <si>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</si>
  <si>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</si>
  <si>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</si>
  <si>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</si>
  <si>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</si>
  <si>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</si>
  <si>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</si>
  <si>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</si>
  <si>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</si>
  <si>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</si>
  <si>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</si>
  <si>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</si>
  <si>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</si>
  <si>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</si>
  <si>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</si>
  <si>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</si>
  <si>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</si>
  <si>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</si>
  <si>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</si>
  <si>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</si>
  <si>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</si>
  <si>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</si>
  <si>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</si>
  <si>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</si>
  <si>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</si>
  <si>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</si>
  <si>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</si>
  <si>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</si>
  <si>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</si>
  <si>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</si>
  <si>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</si>
  <si>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</si>
  <si>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</si>
  <si>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</si>
  <si>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</si>
  <si>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</si>
  <si>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</si>
  <si>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</si>
  <si>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</si>
  <si>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</si>
  <si>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</si>
  <si>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</si>
  <si>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</si>
  <si>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</si>
  <si>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</si>
  <si>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</si>
  <si>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</si>
  <si>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</si>
  <si>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</si>
  <si>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</si>
  <si>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</si>
  <si>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</si>
  <si>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</si>
  <si>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</si>
  <si>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</si>
  <si>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</si>
  <si>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</si>
  <si>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</si>
  <si>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</si>
  <si>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</si>
  <si>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</si>
  <si>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</si>
  <si>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</si>
  <si>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</si>
  <si>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</si>
  <si>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</si>
  <si>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</si>
  <si>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</si>
  <si>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</si>
  <si>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</si>
  <si>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</si>
  <si>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</si>
  <si>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</si>
  <si>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</si>
  <si>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</si>
  <si>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</si>
  <si>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</si>
  <si>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</si>
  <si>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</si>
  <si>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</si>
  <si>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</si>
  <si>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</si>
  <si>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</si>
  <si>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</si>
  <si>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</si>
  <si>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</si>
  <si>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</si>
  <si>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</si>
  <si>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</si>
  <si>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</si>
  <si>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</si>
  <si>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</si>
  <si>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</si>
  <si>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</si>
  <si>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</si>
  <si>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</si>
  <si>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</si>
  <si>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</si>
  <si>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</si>
  <si>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</si>
  <si>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</si>
  <si>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</si>
  <si>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</si>
  <si>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</si>
  <si>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</si>
  <si>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</si>
  <si>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</si>
  <si>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</si>
  <si>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</si>
  <si>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</si>
  <si>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</si>
  <si>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</si>
  <si>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</si>
  <si>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</si>
  <si>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</si>
  <si>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</si>
  <si>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</si>
  <si>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</si>
  <si>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</si>
  <si>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</si>
  <si>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</si>
  <si>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</si>
  <si>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</si>
  <si>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</si>
  <si>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</si>
  <si>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</si>
  <si>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</si>
  <si>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</si>
  <si>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</si>
  <si>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</si>
  <si>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</si>
  <si>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</si>
  <si>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</si>
  <si>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</si>
  <si>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</si>
  <si>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</si>
  <si>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</si>
  <si>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</si>
  <si>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</si>
  <si>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</si>
  <si>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</si>
  <si>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</si>
  <si>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</si>
  <si>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</si>
  <si>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</si>
  <si>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</si>
  <si>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</si>
  <si>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</si>
  <si>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</si>
  <si>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</si>
  <si>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</si>
  <si>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</si>
  <si>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</si>
  <si>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</si>
  <si>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</si>
  <si>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</si>
  <si>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</si>
  <si>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</si>
  <si>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</si>
  <si>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</si>
  <si>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</si>
  <si>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</si>
  <si>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</si>
  <si>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</si>
  <si>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</si>
  <si>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</si>
  <si>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</si>
  <si>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</si>
  <si>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</si>
  <si>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</si>
  <si>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</si>
  <si>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</si>
  <si>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</si>
  <si>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</si>
  <si>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</si>
  <si>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</si>
  <si>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</si>
  <si>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</si>
  <si>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</si>
  <si>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</si>
  <si>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</si>
  <si>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</si>
  <si>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</si>
  <si>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</si>
  <si>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</si>
  <si>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</si>
  <si>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</si>
  <si>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</si>
  <si>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</si>
  <si>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</si>
  <si>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</si>
  <si>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</si>
  <si>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</si>
  <si>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</si>
  <si>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</si>
  <si>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</si>
  <si>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</si>
  <si>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</si>
  <si>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</si>
  <si>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</si>
  <si>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</si>
  <si>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</si>
  <si>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</si>
  <si>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</si>
  <si>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</si>
  <si>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</si>
  <si>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</si>
  <si>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</si>
  <si>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</si>
  <si>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</si>
  <si>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</si>
  <si>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</si>
  <si>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</si>
  <si>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</si>
  <si>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</si>
  <si>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</si>
  <si>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</si>
  <si>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</si>
  <si>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</si>
  <si>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</si>
  <si>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</si>
  <si>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</si>
  <si>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</si>
  <si>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</si>
  <si>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</si>
  <si>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</si>
  <si>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</si>
  <si>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</si>
  <si>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</si>
  <si>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</si>
  <si>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</si>
  <si>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</si>
  <si>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</si>
  <si>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</si>
  <si>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</si>
  <si>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</si>
  <si>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</si>
  <si>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</si>
  <si>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</si>
  <si>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</si>
  <si>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</si>
  <si>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</si>
  <si>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</si>
  <si>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</si>
  <si>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</si>
  <si>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</si>
  <si>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</si>
  <si>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</si>
  <si>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</si>
  <si>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</si>
  <si>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</si>
  <si>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</si>
  <si>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</si>
  <si>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</si>
  <si>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</si>
  <si>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</si>
  <si>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</si>
  <si>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</si>
  <si>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</si>
  <si>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</si>
  <si>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</si>
  <si>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</si>
  <si>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</si>
  <si>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</si>
  <si>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</si>
  <si>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</si>
  <si>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</si>
  <si>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</si>
  <si>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</si>
  <si>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</si>
  <si>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</si>
  <si>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</si>
  <si>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</si>
  <si>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</si>
  <si>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</si>
  <si>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</si>
  <si>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</si>
  <si>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</si>
  <si>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</si>
  <si>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</si>
  <si>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</si>
  <si>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</si>
  <si>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</si>
  <si>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</si>
  <si>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</si>
  <si>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</si>
  <si>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</si>
  <si>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</si>
  <si>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</si>
  <si>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</si>
  <si>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</si>
  <si>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</si>
  <si>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</si>
  <si>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</si>
  <si>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</si>
  <si>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</si>
  <si>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</si>
  <si>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</si>
  <si>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</si>
  <si>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</si>
  <si>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</si>
  <si>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</si>
  <si>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</si>
  <si>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</si>
  <si>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</si>
  <si>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</si>
  <si>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</si>
  <si>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</si>
  <si>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</si>
  <si>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</si>
  <si>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</si>
  <si>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</si>
  <si>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</si>
  <si>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</si>
  <si>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</si>
  <si>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</si>
  <si>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</si>
  <si>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</si>
  <si>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</si>
  <si>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</si>
  <si>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</si>
  <si>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</si>
  <si>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</si>
  <si>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</si>
  <si>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</si>
  <si>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</si>
  <si>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</si>
  <si>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</si>
  <si>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</si>
  <si>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</si>
  <si>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</si>
  <si>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</si>
  <si>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</si>
  <si>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</si>
  <si>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</si>
  <si>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</si>
  <si>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</si>
  <si>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</si>
  <si>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</si>
  <si>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</si>
  <si>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</si>
  <si>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</si>
  <si>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</si>
  <si>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</si>
  <si>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</si>
  <si>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</si>
  <si>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</si>
  <si>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</si>
  <si>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</si>
  <si>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</si>
  <si>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</si>
  <si>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</si>
  <si>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</si>
  <si>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</si>
  <si>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</si>
  <si>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</si>
  <si>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</si>
  <si>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</si>
  <si>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</si>
  <si>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</si>
  <si>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</si>
  <si>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</si>
  <si>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</si>
  <si>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</si>
  <si>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</si>
  <si>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</si>
  <si>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</si>
  <si>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</si>
  <si>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</si>
  <si>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</si>
  <si>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</si>
  <si>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</si>
  <si>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</si>
  <si>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</si>
  <si>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</si>
  <si>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</si>
  <si>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</si>
  <si>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</si>
  <si>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</si>
  <si>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</si>
  <si>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</si>
  <si>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</si>
  <si>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</si>
  <si>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</si>
  <si>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</si>
  <si>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</si>
  <si>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</si>
  <si>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</si>
  <si>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</si>
  <si>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</si>
  <si>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</si>
  <si>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</si>
  <si>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</si>
  <si>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</si>
  <si>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</si>
  <si>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</si>
  <si>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</si>
  <si>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</si>
  <si>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</si>
  <si>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</si>
  <si>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</si>
  <si>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</si>
  <si>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</si>
  <si>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</si>
  <si>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</si>
  <si>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</si>
  <si>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</si>
  <si>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</si>
  <si>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</si>
  <si>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</si>
  <si>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</si>
  <si>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</si>
  <si>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</si>
  <si>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</si>
  <si>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785765.02.01</t>
  </si>
  <si>
    <t>Специальная техника правоохранит. органов: Уч.пос. / В.В.Горовой-М.:НИЦ ИНФРА-М,2024.-337 с.(ВО.Сп)(п)</t>
  </si>
  <si>
    <t>СПЕЦИАЛЬНАЯ ТЕХНИКА ПРАВООХРАНИТЕЛЬНЫХ ОРГАНОВ</t>
  </si>
  <si>
    <t>Горовой В.В., Горовая Е.Ю.</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</si>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</sst>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1044</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7">
        <v>2026.2</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7">
        <v>1560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13">
        <v>996</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13">
        <v>828</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7">
        <v>1776</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7">
        <v>2112</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13">
        <v>829.2</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7">
        <v>1404</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7">
        <v>1656</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13">
        <v>888</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7">
        <v>1944</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7">
        <v>1980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7">
        <v>1524</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7">
        <v>1524</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7">
        <v>2700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7">
        <v>1636.8</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7">
        <v>1908</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13">
        <v>959.9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13">
        <v>972</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13">
        <v>996</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7">
        <v>1728</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7">
        <v>1884</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7">
        <v>3480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7">
        <v>2760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7">
        <v>2712</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13">
        <v>107.9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7">
        <v>2608.8000000000002</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7">
        <v>2028</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7">
        <v>3240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7">
        <v>1816.8</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7">
        <v>1344</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13">
        <v>756</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13">
        <v>912</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13">
        <v>768</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13">
        <v>972</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7">
        <v>1296</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13">
        <v>977.9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13">
        <v>554.29999999999995</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13">
        <v>516</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7">
        <v>1572</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13">
        <v>564</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7">
        <v>1980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7">
        <v>3120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1068</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7">
        <v>1732.8</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7">
        <v>1248</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13">
        <v>432</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7">
        <v>1464</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7">
        <v>1920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7">
        <v>1536</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7">
        <v>1800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7">
        <v>1792.8</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7">
        <v>1728</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7">
        <v>1908</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1104</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7">
        <v>1416</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13">
        <v>660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1060.8</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7">
        <v>1704</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7">
        <v>1672.8</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7">
        <v>1644</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1144.8</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7">
        <v>1260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13">
        <v>780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7">
        <v>1320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1020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13">
        <v>948</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7">
        <v>2016</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13">
        <v>708</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7">
        <v>2868</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13">
        <v>904.8</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7">
        <v>1644</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13">
        <v>912</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13">
        <v>904.8</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13">
        <v>972</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7">
        <v>2597.9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7">
        <v>1380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7">
        <v>2040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7">
        <v>1248</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13">
        <v>743.9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1084.8</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7">
        <v>1416</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7">
        <v>1812</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7">
        <v>1416</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7">
        <v>1888.8</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7">
        <v>1733.9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13">
        <v>173.9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7">
        <v>2616</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7">
        <v>1596</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13">
        <v>756</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13">
        <v>600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7">
        <v>1464</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13">
        <v>976.8</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1104</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1176</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7">
        <v>2184</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1049.9000000000001</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1020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7">
        <v>1440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13">
        <v>972</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1188</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13">
        <v>869.9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13">
        <v>869.9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13">
        <v>732</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13">
        <v>947.9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7">
        <v>2152.8000000000002</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13">
        <v>324</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7">
        <v>1644</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7">
        <v>1289.9000000000001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13">
        <v>948</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13">
        <v>796.8</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13">
        <v>761.9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13">
        <v>648</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1020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7">
        <v>1540.8</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1068</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13">
        <v>672</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13">
        <v>737.9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13">
        <v>888</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1096.8</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1132.8</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13">
        <v>924</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13">
        <v>900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13">
        <v>204</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13">
        <v>804</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13">
        <v>617.9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1176</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13">
        <v>696</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1181.9000000000001</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7">
        <v>1332</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7">
        <v>1624.8</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7">
        <v>3240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7">
        <v>1620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1049.9000000000001</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13">
        <v>912</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7">
        <v>1596</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7">
        <v>2388</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7">
        <v>2112</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1188</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13">
        <v>700.8</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13">
        <v>840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7">
        <v>1485.6</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13">
        <v>708</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7">
        <v>1860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7">
        <v>1596</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1168.8</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13">
        <v>996</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7">
        <v>1452</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13">
        <v>924</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1012.8</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1085.9000000000001</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13">
        <v>389.9</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7">
        <v>2387.9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13">
        <v>851.9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1072.8</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7">
        <v>1704</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13">
        <v>984</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1073.9000000000001</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7">
        <v>1241.9000000000001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13">
        <v>659.9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13">
        <v>984</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13">
        <v>948</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13">
        <v>928.8</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13">
        <v>780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1068</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7">
        <v>1224</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7">
        <v>1493.9</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7">
        <v>1853.9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7">
        <v>1728</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1116</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7">
        <v>1968</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1116</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7">
        <v>1540.8</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13">
        <v>948</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7">
        <v>1560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1104</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7">
        <v>2196</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7">
        <v>1752</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7">
        <v>2592</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7">
        <v>1812</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7">
        <v>3252</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7">
        <v>2820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13">
        <v>792</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7">
        <v>3156</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13">
        <v>839.9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13">
        <v>59.9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13">
        <v>167.9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7">
        <v>3593.9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7">
        <v>3840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7">
        <v>2405.9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7">
        <v>1644</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7">
        <v>3028.8</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7">
        <v>3360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7">
        <v>1440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7">
        <v>2224.8000000000002</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13">
        <v>804</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13">
        <v>600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13">
        <v>720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13">
        <v>808.8</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13">
        <v>869.9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7">
        <v>1253.9000000000001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7">
        <v>1776</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13">
        <v>677.9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13">
        <v>113.9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7">
        <v>2472</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1068</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7">
        <v>2160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13">
        <v>924</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7">
        <v>1480.8</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1037.9000000000001</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7">
        <v>2178</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1032</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7">
        <v>1512</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1068</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13">
        <v>336</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13">
        <v>900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13">
        <v>504</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7">
        <v>1860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1084.8</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13">
        <v>713.9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7">
        <v>1324.8</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7">
        <v>1476</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7">
        <v>2512.8000000000002</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7">
        <v>1572</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7">
        <v>2268</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13">
        <v>684</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7">
        <v>2160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1020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1140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13">
        <v>540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1036.8</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7">
        <v>1284</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7">
        <v>2201.9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13">
        <v>924</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1072.8</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13">
        <v>972</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1008</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7">
        <v>1428</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7">
        <v>1920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13">
        <v>773.9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7">
        <v>2267.9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13">
        <v>497.9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7">
        <v>2820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7">
        <v>2856</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7">
        <v>2304</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1012.8</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HYPERLINK("https://znanium.ru/catalog/product/1859031", "Ознакомиться")</f>
        <v>Ознакомиться</v>
      </c>
      <c r="W254" s="8" t="s">
        <v>114</v>
      </c>
      <c r="X254" s="6"/>
      <c r="Y254" s="6"/>
      <c r="Z254" s="6"/>
      <c r="AA254" s="6" t="s">
        <v>79</v>
      </c>
    </row>
    <row r="255" spans="1:27" s="4" customFormat="1" ht="42" customHeight="1">
      <c r="A255" s="5">
        <v>0</v>
      </c>
      <c r="B255" s="6" t="s">
        <v>1536</v>
      </c>
      <c r="C255" s="7">
        <v>1613.9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7">
        <v>1644</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7">
        <v>3115.2</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13">
        <v>660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7">
        <v>2046</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13">
        <v>552</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13">
        <v>864</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13">
        <v>600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7">
        <v>2268</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13">
        <v>197.9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7">
        <v>2333.9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7">
        <v>1529.9</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13">
        <v>720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1164</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7">
        <v>1560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1188</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13">
        <v>941.9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7">
        <v>1468.8</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13">
        <v>653.9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1164</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7">
        <v>2092.8000000000002</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13">
        <v>900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7">
        <v>1625.9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13">
        <v>809.9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13">
        <v>948</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13">
        <v>617.9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7">
        <v>2753.9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13">
        <v>965.9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13">
        <v>784.8</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13">
        <v>804</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1096.8</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13">
        <v>713.9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1008</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7">
        <v>1240.8</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HYPERLINK("https://znanium.ru/catalog/product/1877136", "Ознакомиться")</f>
        <v>Ознакомиться</v>
      </c>
      <c r="W288" s="8" t="s">
        <v>1685</v>
      </c>
      <c r="X288" s="6"/>
      <c r="Y288" s="6"/>
      <c r="Z288" s="6"/>
      <c r="AA288" s="6" t="s">
        <v>62</v>
      </c>
    </row>
    <row r="289" spans="1:27" s="4" customFormat="1" ht="44.1" customHeight="1">
      <c r="A289" s="5">
        <v>0</v>
      </c>
      <c r="B289" s="6" t="s">
        <v>1715</v>
      </c>
      <c r="C289" s="7">
        <v>1289.9000000000001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7">
        <v>1224</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7">
        <v>2296.8000000000002</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7">
        <v>2296.8000000000002</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42" customHeight="1">
      <c r="A293" s="5">
        <v>0</v>
      </c>
      <c r="B293" s="6" t="s">
        <v>1734</v>
      </c>
      <c r="C293" s="7">
        <v>2093.9</v>
      </c>
      <c r="D293" s="8" t="s">
        <v>1735</v>
      </c>
      <c r="E293" s="8" t="s">
        <v>1736</v>
      </c>
      <c r="F293" s="8" t="s">
        <v>1728</v>
      </c>
      <c r="G293" s="6" t="s">
        <v>58</v>
      </c>
      <c r="H293" s="6" t="s">
        <v>38</v>
      </c>
      <c r="I293" s="8"/>
      <c r="J293" s="9">
        <v>1</v>
      </c>
      <c r="K293" s="9">
        <v>416</v>
      </c>
      <c r="L293" s="9">
        <v>2023</v>
      </c>
      <c r="M293" s="8" t="s">
        <v>1737</v>
      </c>
      <c r="N293" s="8" t="s">
        <v>40</v>
      </c>
      <c r="O293" s="8" t="s">
        <v>41</v>
      </c>
      <c r="P293" s="6" t="s">
        <v>42</v>
      </c>
      <c r="Q293" s="8" t="s">
        <v>43</v>
      </c>
      <c r="R293" s="10" t="s">
        <v>1738</v>
      </c>
      <c r="S293" s="11"/>
      <c r="T293" s="6"/>
      <c r="U293" s="28" t="str">
        <f>HYPERLINK("https://media.infra-m.ru/1876/1876638/cover/1876638.jpg", "Обложка")</f>
        <v>Обложка</v>
      </c>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7">
        <v>2069.9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7">
        <v>1769.3</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7">
        <v>2100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7">
        <v>2220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13">
        <v>809.9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7">
        <v>3096</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7">
        <v>1504.8</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HYPERLINK("https://znanium.ru/catalog/product/1856721", "Ознакомиться")</f>
        <v>Ознакомиться</v>
      </c>
      <c r="W300" s="8" t="s">
        <v>45</v>
      </c>
      <c r="X300" s="6"/>
      <c r="Y300" s="6"/>
      <c r="Z300" s="6"/>
      <c r="AA300" s="6" t="s">
        <v>302</v>
      </c>
    </row>
    <row r="301" spans="1:27" s="4" customFormat="1" ht="51.95" customHeight="1">
      <c r="A301" s="5">
        <v>0</v>
      </c>
      <c r="B301" s="6" t="s">
        <v>1779</v>
      </c>
      <c r="C301" s="7">
        <v>1096.8</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13">
        <v>533.9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7">
        <v>1248</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13">
        <v>972</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7">
        <v>1608</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7">
        <v>1716</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7">
        <v>1644</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13">
        <v>700.8</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1176</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7">
        <v>1380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7">
        <v>1500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1193.9000000000001</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7">
        <v>2633.9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7">
        <v>2574</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7">
        <v>2963.9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7">
        <v>2748</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13">
        <v>773.9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7">
        <v>3352.8</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7">
        <v>1979.9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7">
        <v>1944</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13">
        <v>696</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13">
        <v>996</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1164</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7">
        <v>1296</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7">
        <v>1464</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1152</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7">
        <v>1433.9</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7">
        <v>1420.8</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13">
        <v>449.9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13">
        <v>461.9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7">
        <v>1421.9</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7">
        <v>3444</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1140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7">
        <v>2388</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7">
        <v>2680.8</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7">
        <v>1596</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13">
        <v>300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7">
        <v>2028</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7">
        <v>1620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7">
        <v>2712</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7">
        <v>1764</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7">
        <v>1776</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7">
        <v>3580.8</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7">
        <v>2261.9</v>
      </c>
      <c r="D344" s="8" t="s">
        <v>2018</v>
      </c>
      <c r="E344" s="8" t="s">
        <v>1994</v>
      </c>
      <c r="F344" s="8" t="s">
        <v>876</v>
      </c>
      <c r="G344" s="6" t="s">
        <v>58</v>
      </c>
      <c r="H344" s="6" t="s">
        <v>410</v>
      </c>
      <c r="I344" s="8"/>
      <c r="J344" s="9">
        <v>1</v>
      </c>
      <c r="K344" s="9">
        <v>496</v>
      </c>
      <c r="L344" s="9">
        <v>2022</v>
      </c>
      <c r="M344" s="8" t="s">
        <v>2019</v>
      </c>
      <c r="N344" s="8" t="s">
        <v>40</v>
      </c>
      <c r="O344" s="8" t="s">
        <v>41</v>
      </c>
      <c r="P344" s="6" t="s">
        <v>2020</v>
      </c>
      <c r="Q344" s="8" t="s">
        <v>76</v>
      </c>
      <c r="R344" s="10" t="s">
        <v>469</v>
      </c>
      <c r="S344" s="11"/>
      <c r="T344" s="6"/>
      <c r="U344" s="28" t="str">
        <f>HYPERLINK("https://media.infra-m.ru/1836/1836612/cover/1836612.jpg",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13">
        <v>269.89999999999998</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7">
        <v>1608</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7">
        <v>1860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7">
        <v>1752</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7">
        <v>2916</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13">
        <v>864</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7">
        <v>1900.8</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7">
        <v>2392.8000000000002</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7">
        <v>3480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7">
        <v>2260.8000000000002</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7">
        <v>1716</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7">
        <v>2584.8000000000002</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1072.8</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7">
        <v>2688</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7">
        <v>1637.9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7">
        <v>1536</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7">
        <v>3108</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7">
        <v>2880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13">
        <v>700.8</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HYPERLINK("https://znanium.ru/catalog/product/2123353", "Ознакомиться")</f>
        <v>Ознакомиться</v>
      </c>
      <c r="W363" s="8" t="s">
        <v>114</v>
      </c>
      <c r="X363" s="6"/>
      <c r="Y363" s="6"/>
      <c r="Z363" s="6"/>
      <c r="AA363" s="6" t="s">
        <v>46</v>
      </c>
    </row>
    <row r="364" spans="1:27" s="4" customFormat="1" ht="42" customHeight="1">
      <c r="A364" s="5">
        <v>0</v>
      </c>
      <c r="B364" s="6" t="s">
        <v>2119</v>
      </c>
      <c r="C364" s="7">
        <v>1644</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7">
        <v>3240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7">
        <v>3240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13">
        <v>317.89999999999998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13">
        <v>816</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7">
        <v>2376</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7">
        <v>1848</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7">
        <v>1637.9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7">
        <v>1588.8</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13">
        <v>700.8</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1193.9000000000001</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13">
        <v>700.8</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7">
        <v>2380.8000000000002</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7">
        <v>2333.9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7">
        <v>2616</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7">
        <v>2632.8</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7">
        <v>3840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7">
        <v>2436</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7">
        <v>2272.8000000000002</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13">
        <v>413.9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7">
        <v>2632.8</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7">
        <v>3360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7">
        <v>2376</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7">
        <v>2376</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7">
        <v>2376</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7">
        <v>2178</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7">
        <v>2377.1999999999998</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7">
        <v>2461.1999999999998</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7">
        <v>2376</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7">
        <v>2376</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7">
        <v>2052</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7">
        <v>2460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7">
        <v>2393.9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7">
        <v>1956</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1056</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7">
        <v>1200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13">
        <v>580.79999999999995</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7">
        <v>1980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7">
        <v>1764</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7">
        <v>1308</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7">
        <v>2580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7">
        <v>2688</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13">
        <v>480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7">
        <v>1596</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13">
        <v>760.8</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7">
        <v>2208</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7">
        <v>1368</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13">
        <v>576</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7">
        <v>1836</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7">
        <v>2040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7">
        <v>3468</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7">
        <v>2748</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7">
        <v>2256</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7">
        <v>1560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7">
        <v>1320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13">
        <v>951.6</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13">
        <v>540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13">
        <v>840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13">
        <v>348</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7">
        <v>2868</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7">
        <v>3588</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7">
        <v>2376</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7">
        <v>2508</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7">
        <v>2028</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1140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7">
        <v>1800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7">
        <v>3588</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7">
        <v>3472.8</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1079.9000000000001</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7">
        <v>2752.8</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13">
        <v>269.89999999999998</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13">
        <v>492</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1008</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13">
        <v>312</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7">
        <v>2093.9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13">
        <v>173.9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7">
        <v>2220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7">
        <v>1312.8</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13">
        <v>876</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13">
        <v>948</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1104</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7">
        <v>1992</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7">
        <v>1277.9000000000001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13">
        <v>521.9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7">
        <v>1660.8</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7">
        <v>1512</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7">
        <v>2764.8</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7">
        <v>2340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7">
        <v>3156</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13">
        <v>717.6</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7">
        <v>1260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1001.9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7">
        <v>2904</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7">
        <v>2393.9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7">
        <v>2068.8000000000002</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7">
        <v>3732</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13">
        <v>521.9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7">
        <v>3480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7">
        <v>2879.9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7">
        <v>3540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7">
        <v>1560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7">
        <v>1548</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7">
        <v>2700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7">
        <v>1848</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7">
        <v>2400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7">
        <v>2448</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7">
        <v>2700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7">
        <v>2220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7">
        <v>2712</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7">
        <v>2268</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7">
        <v>1313.9</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13">
        <v>887.9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7">
        <v>1596</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13">
        <v>636</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13">
        <v>360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7">
        <v>3588</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7">
        <v>2309.9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7">
        <v>2232</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7">
        <v>2268</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1056</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7">
        <v>2620.8000000000002</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13">
        <v>684</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13">
        <v>552</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1068</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7">
        <v>2188.8000000000002</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7">
        <v>1620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7">
        <v>2520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7">
        <v>1392</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13">
        <v>924</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13">
        <v>698.3</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7">
        <v>1517.9</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7">
        <v>1349.9</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13">
        <v>588</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1032</v>
      </c>
      <c r="D497" s="8" t="s">
        <v>2832</v>
      </c>
      <c r="E497" s="8" t="s">
        <v>2833</v>
      </c>
      <c r="F497" s="8" t="s">
        <v>2834</v>
      </c>
      <c r="G497" s="6" t="s">
        <v>37</v>
      </c>
      <c r="H497" s="6" t="s">
        <v>38</v>
      </c>
      <c r="I497" s="8"/>
      <c r="J497" s="9">
        <v>1</v>
      </c>
      <c r="K497" s="9">
        <v>184</v>
      </c>
      <c r="L497" s="9">
        <v>2023</v>
      </c>
      <c r="M497" s="8" t="s">
        <v>2835</v>
      </c>
      <c r="N497" s="8" t="s">
        <v>40</v>
      </c>
      <c r="O497" s="8" t="s">
        <v>41</v>
      </c>
      <c r="P497" s="6" t="s">
        <v>75</v>
      </c>
      <c r="Q497" s="8" t="s">
        <v>157</v>
      </c>
      <c r="R497" s="10" t="s">
        <v>350</v>
      </c>
      <c r="S497" s="11"/>
      <c r="T497" s="6"/>
      <c r="U497" s="28" t="str">
        <f>HYPERLINK("https://media.infra-m.ru/1971/1971867/cover/1971867.jpg",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13">
        <v>972</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7">
        <v>2032.8</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7">
        <v>2268</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7">
        <v>3762</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7">
        <v>4950</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7">
        <v>5544</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13">
        <v>996</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13">
        <v>732</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1008</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13">
        <v>443.9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7">
        <v>1896</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7">
        <v>1560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7">
        <v>2124</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13">
        <v>936</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13">
        <v>396</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13">
        <v>828</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1164</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7">
        <v>1452</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13">
        <v>792</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13">
        <v>720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13">
        <v>384</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13">
        <v>820.8</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13">
        <v>900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7">
        <v>1212</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7">
        <v>1624.8</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7">
        <v>1704</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13">
        <v>468</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7">
        <v>3412.8</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7">
        <v>1380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7">
        <v>3064.8</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7">
        <v>1260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13">
        <v>948</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13">
        <v>840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13">
        <v>948</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13">
        <v>659.9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13">
        <v>616.79999999999995</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1060.8</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7">
        <v>1336.8</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7">
        <v>1372.8</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7">
        <v>2532</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7">
        <v>2392.8000000000002</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7">
        <v>2616</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7">
        <v>2620.8000000000002</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7">
        <v>2212.8000000000002</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7">
        <v>3240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7">
        <v>4036.8</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13">
        <v>533.9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13">
        <v>720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13">
        <v>83.9</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13">
        <v>900</v>
      </c>
      <c r="D547" s="8" t="s">
        <v>3096</v>
      </c>
      <c r="E547" s="8" t="s">
        <v>3097</v>
      </c>
      <c r="F547" s="8" t="s">
        <v>3031</v>
      </c>
      <c r="G547" s="6" t="s">
        <v>37</v>
      </c>
      <c r="H547" s="6" t="s">
        <v>410</v>
      </c>
      <c r="I547" s="8"/>
      <c r="J547" s="9">
        <v>1</v>
      </c>
      <c r="K547" s="9">
        <v>192</v>
      </c>
      <c r="L547" s="9">
        <v>2022</v>
      </c>
      <c r="M547" s="8" t="s">
        <v>3098</v>
      </c>
      <c r="N547" s="8" t="s">
        <v>40</v>
      </c>
      <c r="O547" s="8" t="s">
        <v>41</v>
      </c>
      <c r="P547" s="6" t="s">
        <v>42</v>
      </c>
      <c r="Q547" s="8" t="s">
        <v>43</v>
      </c>
      <c r="R547" s="10" t="s">
        <v>113</v>
      </c>
      <c r="S547" s="11"/>
      <c r="T547" s="6"/>
      <c r="U547" s="28" t="str">
        <f>HYPERLINK("https://media.infra-m.ru/1862/1862613/cover/1862613.jpg",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7">
        <v>1764</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7">
        <v>2076</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13">
        <v>724.8</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13">
        <v>744</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13">
        <v>892.8</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7">
        <v>1272</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7">
        <v>1992</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7">
        <v>2196</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7">
        <v>2160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7">
        <v>2352</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7">
        <v>2256</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7">
        <v>2692.8</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7">
        <v>1860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7">
        <v>2416.8000000000002</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13">
        <v>996</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7">
        <v>2832</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7">
        <v>1745.9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7">
        <v>2616</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7">
        <v>2080.8000000000002</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13">
        <v>900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1044</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7">
        <v>2164.8000000000002</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7">
        <v>1792.8</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7">
        <v>2040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13">
        <v>960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1145.9000000000001</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13">
        <v>996</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13">
        <v>828</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7">
        <v>1552.8</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7">
        <v>2124</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13">
        <v>912</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13">
        <v>497.9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7">
        <v>1680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1188</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13">
        <v>828</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7">
        <v>1740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1127.9000000000001</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7">
        <v>1464</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13">
        <v>732</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7">
        <v>1673.9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7">
        <v>1716</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7">
        <v>2328</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7">
        <v>3540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7">
        <v>3136.8</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7">
        <v>4056</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1020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13">
        <v>593.9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7">
        <v>2184</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13">
        <v>119.9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7">
        <v>1948.8</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13">
        <v>689.9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13">
        <v>816</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13">
        <v>720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13">
        <v>540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7">
        <v>1440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7">
        <v>2212.8000000000002</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7">
        <v>3588</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13">
        <v>449.9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13">
        <v>83.9</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7">
        <v>1500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13">
        <v>900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13">
        <v>948</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7">
        <v>2128.8000000000002</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HYPERLINK("https://znanium.ru/catalog/product/1869003", "Ознакомиться")</f>
        <v>Ознакомиться</v>
      </c>
      <c r="W610" s="8" t="s">
        <v>236</v>
      </c>
      <c r="X610" s="6"/>
      <c r="Y610" s="6"/>
      <c r="Z610" s="6"/>
      <c r="AA610" s="6" t="s">
        <v>46</v>
      </c>
    </row>
    <row r="611" spans="1:27" s="4" customFormat="1" ht="51.95" customHeight="1">
      <c r="A611" s="5">
        <v>0</v>
      </c>
      <c r="B611" s="6" t="s">
        <v>3448</v>
      </c>
      <c r="C611" s="13">
        <v>900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7">
        <v>2524.8000000000002</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13">
        <v>924</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7">
        <v>1637.9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1049.9000000000001</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7">
        <v>1360.8</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13">
        <v>695.9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13">
        <v>602.29999999999995</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13">
        <v>684</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7">
        <v>1252.8</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13">
        <v>977.9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7">
        <v>2992.8</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7">
        <v>1644</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7">
        <v>1272</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1020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t="s">
        <v>3526</v>
      </c>
      <c r="Y625" s="6"/>
      <c r="Z625" s="6"/>
      <c r="AA625" s="6" t="s">
        <v>417</v>
      </c>
    </row>
    <row r="626" spans="1:27" s="4" customFormat="1" ht="51.95" customHeight="1">
      <c r="A626" s="5">
        <v>0</v>
      </c>
      <c r="B626" s="6" t="s">
        <v>3527</v>
      </c>
      <c r="C626" s="7">
        <v>1320</v>
      </c>
      <c r="D626" s="8" t="s">
        <v>3528</v>
      </c>
      <c r="E626" s="8" t="s">
        <v>3529</v>
      </c>
      <c r="F626" s="8" t="s">
        <v>2375</v>
      </c>
      <c r="G626" s="6" t="s">
        <v>37</v>
      </c>
      <c r="H626" s="6" t="s">
        <v>38</v>
      </c>
      <c r="I626" s="8"/>
      <c r="J626" s="9">
        <v>1</v>
      </c>
      <c r="K626" s="9">
        <v>200</v>
      </c>
      <c r="L626" s="9">
        <v>2024</v>
      </c>
      <c r="M626" s="8" t="s">
        <v>3530</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3531</v>
      </c>
      <c r="C627" s="7">
        <v>1032</v>
      </c>
      <c r="D627" s="8" t="s">
        <v>3532</v>
      </c>
      <c r="E627" s="8" t="s">
        <v>3533</v>
      </c>
      <c r="F627" s="8" t="s">
        <v>3534</v>
      </c>
      <c r="G627" s="6" t="s">
        <v>37</v>
      </c>
      <c r="H627" s="6" t="s">
        <v>84</v>
      </c>
      <c r="I627" s="8" t="s">
        <v>250</v>
      </c>
      <c r="J627" s="9">
        <v>1</v>
      </c>
      <c r="K627" s="9">
        <v>219</v>
      </c>
      <c r="L627" s="9">
        <v>2022</v>
      </c>
      <c r="M627" s="8" t="s">
        <v>3535</v>
      </c>
      <c r="N627" s="8" t="s">
        <v>40</v>
      </c>
      <c r="O627" s="8" t="s">
        <v>41</v>
      </c>
      <c r="P627" s="6" t="s">
        <v>42</v>
      </c>
      <c r="Q627" s="8" t="s">
        <v>43</v>
      </c>
      <c r="R627" s="10" t="s">
        <v>3536</v>
      </c>
      <c r="S627" s="11"/>
      <c r="T627" s="6"/>
      <c r="U627" s="28" t="str">
        <f>HYPERLINK("https://media.infra-m.ru/1790/1790631/cover/1790631.jpg", "Обложка")</f>
        <v>Обложка</v>
      </c>
      <c r="V627" s="28" t="str">
        <f>HYPERLINK("https://znanium.ru/catalog/product/1790631", "Ознакомиться")</f>
        <v>Ознакомиться</v>
      </c>
      <c r="W627" s="8" t="s">
        <v>3537</v>
      </c>
      <c r="X627" s="6"/>
      <c r="Y627" s="6"/>
      <c r="Z627" s="6"/>
      <c r="AA627" s="6" t="s">
        <v>673</v>
      </c>
    </row>
    <row r="628" spans="1:27" s="4" customFormat="1" ht="42" customHeight="1">
      <c r="A628" s="5">
        <v>0</v>
      </c>
      <c r="B628" s="6" t="s">
        <v>3538</v>
      </c>
      <c r="C628" s="13">
        <v>816</v>
      </c>
      <c r="D628" s="8" t="s">
        <v>3539</v>
      </c>
      <c r="E628" s="8" t="s">
        <v>3540</v>
      </c>
      <c r="F628" s="8" t="s">
        <v>3541</v>
      </c>
      <c r="G628" s="6" t="s">
        <v>58</v>
      </c>
      <c r="H628" s="6" t="s">
        <v>84</v>
      </c>
      <c r="I628" s="8" t="s">
        <v>250</v>
      </c>
      <c r="J628" s="9">
        <v>1</v>
      </c>
      <c r="K628" s="9">
        <v>212</v>
      </c>
      <c r="L628" s="9">
        <v>2018</v>
      </c>
      <c r="M628" s="8" t="s">
        <v>3542</v>
      </c>
      <c r="N628" s="8" t="s">
        <v>40</v>
      </c>
      <c r="O628" s="8" t="s">
        <v>41</v>
      </c>
      <c r="P628" s="6" t="s">
        <v>42</v>
      </c>
      <c r="Q628" s="8" t="s">
        <v>43</v>
      </c>
      <c r="R628" s="10" t="s">
        <v>3536</v>
      </c>
      <c r="S628" s="11"/>
      <c r="T628" s="6"/>
      <c r="U628" s="28" t="str">
        <f>HYPERLINK("https://media.infra-m.ru/0966/0966592/cover/966592.jpg", "Обложка")</f>
        <v>Обложка</v>
      </c>
      <c r="V628" s="28" t="str">
        <f>HYPERLINK("https://znanium.ru/catalog/product/1790631", "Ознакомиться")</f>
        <v>Ознакомиться</v>
      </c>
      <c r="W628" s="8" t="s">
        <v>3537</v>
      </c>
      <c r="X628" s="6"/>
      <c r="Y628" s="6"/>
      <c r="Z628" s="6"/>
      <c r="AA628" s="6" t="s">
        <v>214</v>
      </c>
    </row>
    <row r="629" spans="1:27" s="4" customFormat="1" ht="42" customHeight="1">
      <c r="A629" s="5">
        <v>0</v>
      </c>
      <c r="B629" s="6" t="s">
        <v>3543</v>
      </c>
      <c r="C629" s="7">
        <v>2956.8</v>
      </c>
      <c r="D629" s="8" t="s">
        <v>3544</v>
      </c>
      <c r="E629" s="8" t="s">
        <v>3545</v>
      </c>
      <c r="F629" s="8" t="s">
        <v>1594</v>
      </c>
      <c r="G629" s="6" t="s">
        <v>58</v>
      </c>
      <c r="H629" s="6" t="s">
        <v>38</v>
      </c>
      <c r="I629" s="8"/>
      <c r="J629" s="9">
        <v>1</v>
      </c>
      <c r="K629" s="9">
        <v>524</v>
      </c>
      <c r="L629" s="9">
        <v>2024</v>
      </c>
      <c r="M629" s="8" t="s">
        <v>3546</v>
      </c>
      <c r="N629" s="8" t="s">
        <v>40</v>
      </c>
      <c r="O629" s="8" t="s">
        <v>41</v>
      </c>
      <c r="P629" s="6" t="s">
        <v>42</v>
      </c>
      <c r="Q629" s="8" t="s">
        <v>43</v>
      </c>
      <c r="R629" s="10" t="s">
        <v>3547</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3548</v>
      </c>
      <c r="C630" s="7">
        <v>1188</v>
      </c>
      <c r="D630" s="8" t="s">
        <v>3549</v>
      </c>
      <c r="E630" s="8" t="s">
        <v>3550</v>
      </c>
      <c r="F630" s="8" t="s">
        <v>3551</v>
      </c>
      <c r="G630" s="6" t="s">
        <v>58</v>
      </c>
      <c r="H630" s="6" t="s">
        <v>38</v>
      </c>
      <c r="I630" s="8"/>
      <c r="J630" s="9">
        <v>1</v>
      </c>
      <c r="K630" s="9">
        <v>128</v>
      </c>
      <c r="L630" s="9">
        <v>2023</v>
      </c>
      <c r="M630" s="8" t="s">
        <v>3552</v>
      </c>
      <c r="N630" s="8" t="s">
        <v>40</v>
      </c>
      <c r="O630" s="8" t="s">
        <v>41</v>
      </c>
      <c r="P630" s="6" t="s">
        <v>42</v>
      </c>
      <c r="Q630" s="8" t="s">
        <v>43</v>
      </c>
      <c r="R630" s="10" t="s">
        <v>3553</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3554</v>
      </c>
      <c r="C631" s="7">
        <v>2165.9</v>
      </c>
      <c r="D631" s="8" t="s">
        <v>3555</v>
      </c>
      <c r="E631" s="8" t="s">
        <v>3556</v>
      </c>
      <c r="F631" s="8" t="s">
        <v>3557</v>
      </c>
      <c r="G631" s="6" t="s">
        <v>58</v>
      </c>
      <c r="H631" s="6" t="s">
        <v>38</v>
      </c>
      <c r="I631" s="8"/>
      <c r="J631" s="9">
        <v>1</v>
      </c>
      <c r="K631" s="9">
        <v>464</v>
      </c>
      <c r="L631" s="9">
        <v>2022</v>
      </c>
      <c r="M631" s="8" t="s">
        <v>3558</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3559</v>
      </c>
      <c r="C632" s="13">
        <v>533.9</v>
      </c>
      <c r="D632" s="8" t="s">
        <v>3560</v>
      </c>
      <c r="E632" s="8" t="s">
        <v>3561</v>
      </c>
      <c r="F632" s="8" t="s">
        <v>3562</v>
      </c>
      <c r="G632" s="6" t="s">
        <v>51</v>
      </c>
      <c r="H632" s="6" t="s">
        <v>38</v>
      </c>
      <c r="I632" s="8"/>
      <c r="J632" s="14">
        <v>0</v>
      </c>
      <c r="K632" s="9">
        <v>144</v>
      </c>
      <c r="L632" s="9">
        <v>2017</v>
      </c>
      <c r="M632" s="8" t="s">
        <v>3563</v>
      </c>
      <c r="N632" s="8" t="s">
        <v>40</v>
      </c>
      <c r="O632" s="8" t="s">
        <v>41</v>
      </c>
      <c r="P632" s="6" t="s">
        <v>42</v>
      </c>
      <c r="Q632" s="8" t="s">
        <v>300</v>
      </c>
      <c r="R632" s="10" t="s">
        <v>3564</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3565</v>
      </c>
      <c r="C633" s="13">
        <v>528</v>
      </c>
      <c r="D633" s="8" t="s">
        <v>3566</v>
      </c>
      <c r="E633" s="8" t="s">
        <v>3567</v>
      </c>
      <c r="F633" s="8" t="s">
        <v>3568</v>
      </c>
      <c r="G633" s="6" t="s">
        <v>51</v>
      </c>
      <c r="H633" s="6" t="s">
        <v>84</v>
      </c>
      <c r="I633" s="8" t="s">
        <v>85</v>
      </c>
      <c r="J633" s="9">
        <v>1</v>
      </c>
      <c r="K633" s="9">
        <v>160</v>
      </c>
      <c r="L633" s="9">
        <v>2017</v>
      </c>
      <c r="M633" s="8" t="s">
        <v>3569</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3570</v>
      </c>
      <c r="C634" s="13">
        <v>891</v>
      </c>
      <c r="D634" s="8" t="s">
        <v>3571</v>
      </c>
      <c r="E634" s="8" t="s">
        <v>3572</v>
      </c>
      <c r="F634" s="8" t="s">
        <v>3573</v>
      </c>
      <c r="G634" s="6" t="s">
        <v>58</v>
      </c>
      <c r="H634" s="6" t="s">
        <v>38</v>
      </c>
      <c r="I634" s="8"/>
      <c r="J634" s="9">
        <v>20</v>
      </c>
      <c r="K634" s="9">
        <v>240</v>
      </c>
      <c r="L634" s="9">
        <v>2017</v>
      </c>
      <c r="M634" s="8" t="s">
        <v>3574</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3575</v>
      </c>
      <c r="C635" s="7">
        <v>1896</v>
      </c>
      <c r="D635" s="8" t="s">
        <v>3576</v>
      </c>
      <c r="E635" s="8" t="s">
        <v>3577</v>
      </c>
      <c r="F635" s="8" t="s">
        <v>3578</v>
      </c>
      <c r="G635" s="6" t="s">
        <v>58</v>
      </c>
      <c r="H635" s="6" t="s">
        <v>84</v>
      </c>
      <c r="I635" s="8" t="s">
        <v>250</v>
      </c>
      <c r="J635" s="9">
        <v>1</v>
      </c>
      <c r="K635" s="9">
        <v>343</v>
      </c>
      <c r="L635" s="9">
        <v>2023</v>
      </c>
      <c r="M635" s="8" t="s">
        <v>3579</v>
      </c>
      <c r="N635" s="8" t="s">
        <v>40</v>
      </c>
      <c r="O635" s="8" t="s">
        <v>41</v>
      </c>
      <c r="P635" s="6" t="s">
        <v>42</v>
      </c>
      <c r="Q635" s="8" t="s">
        <v>43</v>
      </c>
      <c r="R635" s="10" t="s">
        <v>3580</v>
      </c>
      <c r="S635" s="11"/>
      <c r="T635" s="6"/>
      <c r="U635" s="28" t="str">
        <f>HYPERLINK("https://media.infra-m.ru/1921/1921387/cover/1921387.jpg", "Обложка")</f>
        <v>Обложка</v>
      </c>
      <c r="V635" s="28" t="str">
        <f>HYPERLINK("https://znanium.ru/catalog/product/1921387", "Ознакомиться")</f>
        <v>Ознакомиться</v>
      </c>
      <c r="W635" s="8" t="s">
        <v>3581</v>
      </c>
      <c r="X635" s="6" t="s">
        <v>3526</v>
      </c>
      <c r="Y635" s="6"/>
      <c r="Z635" s="6"/>
      <c r="AA635" s="6" t="s">
        <v>417</v>
      </c>
    </row>
    <row r="636" spans="1:27" s="4" customFormat="1" ht="42" customHeight="1">
      <c r="A636" s="5">
        <v>0</v>
      </c>
      <c r="B636" s="6" t="s">
        <v>3582</v>
      </c>
      <c r="C636" s="7">
        <v>1968</v>
      </c>
      <c r="D636" s="8" t="s">
        <v>3583</v>
      </c>
      <c r="E636" s="8" t="s">
        <v>3584</v>
      </c>
      <c r="F636" s="8" t="s">
        <v>3585</v>
      </c>
      <c r="G636" s="6" t="s">
        <v>37</v>
      </c>
      <c r="H636" s="6" t="s">
        <v>38</v>
      </c>
      <c r="I636" s="8"/>
      <c r="J636" s="9">
        <v>1</v>
      </c>
      <c r="K636" s="9">
        <v>392</v>
      </c>
      <c r="L636" s="9">
        <v>2022</v>
      </c>
      <c r="M636" s="8" t="s">
        <v>3586</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3587</v>
      </c>
      <c r="C637" s="13">
        <v>890.3</v>
      </c>
      <c r="D637" s="8" t="s">
        <v>3588</v>
      </c>
      <c r="E637" s="8" t="s">
        <v>3589</v>
      </c>
      <c r="F637" s="8" t="s">
        <v>3590</v>
      </c>
      <c r="G637" s="6" t="s">
        <v>58</v>
      </c>
      <c r="H637" s="6" t="s">
        <v>38</v>
      </c>
      <c r="I637" s="8"/>
      <c r="J637" s="9">
        <v>1</v>
      </c>
      <c r="K637" s="9">
        <v>176</v>
      </c>
      <c r="L637" s="9">
        <v>2020</v>
      </c>
      <c r="M637" s="8" t="s">
        <v>3591</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3592</v>
      </c>
      <c r="C638" s="7">
        <v>1504.8</v>
      </c>
      <c r="D638" s="8" t="s">
        <v>3593</v>
      </c>
      <c r="E638" s="8" t="s">
        <v>3594</v>
      </c>
      <c r="F638" s="8" t="s">
        <v>3595</v>
      </c>
      <c r="G638" s="6" t="s">
        <v>58</v>
      </c>
      <c r="H638" s="6" t="s">
        <v>38</v>
      </c>
      <c r="I638" s="8"/>
      <c r="J638" s="9">
        <v>1</v>
      </c>
      <c r="K638" s="9">
        <v>272</v>
      </c>
      <c r="L638" s="9">
        <v>2023</v>
      </c>
      <c r="M638" s="8" t="s">
        <v>3596</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3597</v>
      </c>
      <c r="C639" s="13">
        <v>918</v>
      </c>
      <c r="D639" s="8" t="s">
        <v>3598</v>
      </c>
      <c r="E639" s="8" t="s">
        <v>3599</v>
      </c>
      <c r="F639" s="8"/>
      <c r="G639" s="6" t="s">
        <v>26</v>
      </c>
      <c r="H639" s="6" t="s">
        <v>38</v>
      </c>
      <c r="I639" s="8"/>
      <c r="J639" s="9">
        <v>1</v>
      </c>
      <c r="K639" s="9">
        <v>112</v>
      </c>
      <c r="L639" s="9">
        <v>2021</v>
      </c>
      <c r="M639" s="8" t="s">
        <v>3600</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3601</v>
      </c>
      <c r="C640" s="7">
        <v>1397.9</v>
      </c>
      <c r="D640" s="8" t="s">
        <v>3602</v>
      </c>
      <c r="E640" s="8" t="s">
        <v>3603</v>
      </c>
      <c r="F640" s="8" t="s">
        <v>3604</v>
      </c>
      <c r="G640" s="6" t="s">
        <v>37</v>
      </c>
      <c r="H640" s="6" t="s">
        <v>84</v>
      </c>
      <c r="I640" s="8" t="s">
        <v>250</v>
      </c>
      <c r="J640" s="9">
        <v>1</v>
      </c>
      <c r="K640" s="9">
        <v>258</v>
      </c>
      <c r="L640" s="9">
        <v>2023</v>
      </c>
      <c r="M640" s="8" t="s">
        <v>3605</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3606</v>
      </c>
      <c r="X640" s="6"/>
      <c r="Y640" s="6"/>
      <c r="Z640" s="6"/>
      <c r="AA640" s="6" t="s">
        <v>46</v>
      </c>
    </row>
    <row r="641" spans="1:27" s="4" customFormat="1" ht="51.95" customHeight="1">
      <c r="A641" s="5">
        <v>0</v>
      </c>
      <c r="B641" s="6" t="s">
        <v>3607</v>
      </c>
      <c r="C641" s="7">
        <v>2088</v>
      </c>
      <c r="D641" s="8" t="s">
        <v>3608</v>
      </c>
      <c r="E641" s="8" t="s">
        <v>3609</v>
      </c>
      <c r="F641" s="8" t="s">
        <v>3610</v>
      </c>
      <c r="G641" s="6" t="s">
        <v>37</v>
      </c>
      <c r="H641" s="6" t="s">
        <v>84</v>
      </c>
      <c r="I641" s="8" t="s">
        <v>85</v>
      </c>
      <c r="J641" s="9">
        <v>1</v>
      </c>
      <c r="K641" s="9">
        <v>496</v>
      </c>
      <c r="L641" s="9">
        <v>2020</v>
      </c>
      <c r="M641" s="8" t="s">
        <v>3611</v>
      </c>
      <c r="N641" s="8" t="s">
        <v>40</v>
      </c>
      <c r="O641" s="8" t="s">
        <v>41</v>
      </c>
      <c r="P641" s="6" t="s">
        <v>42</v>
      </c>
      <c r="Q641" s="8" t="s">
        <v>43</v>
      </c>
      <c r="R641" s="10" t="s">
        <v>3612</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3613</v>
      </c>
      <c r="C642" s="13">
        <v>744</v>
      </c>
      <c r="D642" s="8" t="s">
        <v>3614</v>
      </c>
      <c r="E642" s="8" t="s">
        <v>3615</v>
      </c>
      <c r="F642" s="8" t="s">
        <v>3616</v>
      </c>
      <c r="G642" s="6" t="s">
        <v>58</v>
      </c>
      <c r="H642" s="6" t="s">
        <v>84</v>
      </c>
      <c r="I642" s="8" t="s">
        <v>85</v>
      </c>
      <c r="J642" s="9">
        <v>1</v>
      </c>
      <c r="K642" s="9">
        <v>152</v>
      </c>
      <c r="L642" s="9">
        <v>2020</v>
      </c>
      <c r="M642" s="8" t="s">
        <v>3617</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3618</v>
      </c>
      <c r="C643" s="7">
        <v>1236</v>
      </c>
      <c r="D643" s="8" t="s">
        <v>3619</v>
      </c>
      <c r="E643" s="8" t="s">
        <v>3620</v>
      </c>
      <c r="F643" s="8" t="s">
        <v>3621</v>
      </c>
      <c r="G643" s="6" t="s">
        <v>51</v>
      </c>
      <c r="H643" s="6" t="s">
        <v>84</v>
      </c>
      <c r="I643" s="8"/>
      <c r="J643" s="9">
        <v>1</v>
      </c>
      <c r="K643" s="9">
        <v>227</v>
      </c>
      <c r="L643" s="9">
        <v>2020</v>
      </c>
      <c r="M643" s="8" t="s">
        <v>3622</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3623</v>
      </c>
      <c r="C644" s="13">
        <v>917.9</v>
      </c>
      <c r="D644" s="8" t="s">
        <v>3624</v>
      </c>
      <c r="E644" s="8" t="s">
        <v>3625</v>
      </c>
      <c r="F644" s="8" t="s">
        <v>3626</v>
      </c>
      <c r="G644" s="6" t="s">
        <v>58</v>
      </c>
      <c r="H644" s="6" t="s">
        <v>84</v>
      </c>
      <c r="I644" s="8" t="s">
        <v>250</v>
      </c>
      <c r="J644" s="9">
        <v>1</v>
      </c>
      <c r="K644" s="9">
        <v>248</v>
      </c>
      <c r="L644" s="9">
        <v>2018</v>
      </c>
      <c r="M644" s="8" t="s">
        <v>3627</v>
      </c>
      <c r="N644" s="8" t="s">
        <v>40</v>
      </c>
      <c r="O644" s="8" t="s">
        <v>41</v>
      </c>
      <c r="P644" s="6" t="s">
        <v>42</v>
      </c>
      <c r="Q644" s="8" t="s">
        <v>43</v>
      </c>
      <c r="R644" s="10" t="s">
        <v>3628</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3629</v>
      </c>
      <c r="C645" s="13">
        <v>972</v>
      </c>
      <c r="D645" s="8" t="s">
        <v>3630</v>
      </c>
      <c r="E645" s="8" t="s">
        <v>3631</v>
      </c>
      <c r="F645" s="8" t="s">
        <v>3632</v>
      </c>
      <c r="G645" s="6" t="s">
        <v>37</v>
      </c>
      <c r="H645" s="6" t="s">
        <v>38</v>
      </c>
      <c r="I645" s="8"/>
      <c r="J645" s="9">
        <v>1</v>
      </c>
      <c r="K645" s="9">
        <v>176</v>
      </c>
      <c r="L645" s="9">
        <v>2024</v>
      </c>
      <c r="M645" s="8" t="s">
        <v>3633</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3634</v>
      </c>
      <c r="C646" s="13">
        <v>640.79999999999995</v>
      </c>
      <c r="D646" s="8" t="s">
        <v>3635</v>
      </c>
      <c r="E646" s="8" t="s">
        <v>3636</v>
      </c>
      <c r="F646" s="8" t="s">
        <v>3637</v>
      </c>
      <c r="G646" s="6" t="s">
        <v>51</v>
      </c>
      <c r="H646" s="6" t="s">
        <v>84</v>
      </c>
      <c r="I646" s="8" t="s">
        <v>250</v>
      </c>
      <c r="J646" s="9">
        <v>1</v>
      </c>
      <c r="K646" s="9">
        <v>108</v>
      </c>
      <c r="L646" s="9">
        <v>2024</v>
      </c>
      <c r="M646" s="8" t="s">
        <v>3638</v>
      </c>
      <c r="N646" s="8" t="s">
        <v>40</v>
      </c>
      <c r="O646" s="8" t="s">
        <v>41</v>
      </c>
      <c r="P646" s="6" t="s">
        <v>42</v>
      </c>
      <c r="Q646" s="8" t="s">
        <v>43</v>
      </c>
      <c r="R646" s="10" t="s">
        <v>932</v>
      </c>
      <c r="S646" s="11"/>
      <c r="T646" s="6"/>
      <c r="U646" s="28" t="str">
        <f>HYPERLINK("https://media.infra-m.ru/2151/2151400/cover/2151400.jpg",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3639</v>
      </c>
      <c r="C647" s="13">
        <v>972</v>
      </c>
      <c r="D647" s="8" t="s">
        <v>3640</v>
      </c>
      <c r="E647" s="8" t="s">
        <v>3641</v>
      </c>
      <c r="F647" s="8" t="s">
        <v>3642</v>
      </c>
      <c r="G647" s="6" t="s">
        <v>58</v>
      </c>
      <c r="H647" s="6" t="s">
        <v>84</v>
      </c>
      <c r="I647" s="8" t="s">
        <v>250</v>
      </c>
      <c r="J647" s="9">
        <v>1</v>
      </c>
      <c r="K647" s="9">
        <v>162</v>
      </c>
      <c r="L647" s="9">
        <v>2024</v>
      </c>
      <c r="M647" s="8" t="s">
        <v>3643</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3644</v>
      </c>
      <c r="X647" s="6" t="s">
        <v>264</v>
      </c>
      <c r="Y647" s="6"/>
      <c r="Z647" s="6"/>
      <c r="AA647" s="6" t="s">
        <v>100</v>
      </c>
    </row>
    <row r="648" spans="1:27" s="4" customFormat="1" ht="51.95" customHeight="1">
      <c r="A648" s="5">
        <v>0</v>
      </c>
      <c r="B648" s="6" t="s">
        <v>3645</v>
      </c>
      <c r="C648" s="13">
        <v>864</v>
      </c>
      <c r="D648" s="8" t="s">
        <v>3646</v>
      </c>
      <c r="E648" s="8" t="s">
        <v>3647</v>
      </c>
      <c r="F648" s="8" t="s">
        <v>3648</v>
      </c>
      <c r="G648" s="6" t="s">
        <v>51</v>
      </c>
      <c r="H648" s="6" t="s">
        <v>84</v>
      </c>
      <c r="I648" s="8" t="s">
        <v>184</v>
      </c>
      <c r="J648" s="9">
        <v>1</v>
      </c>
      <c r="K648" s="9">
        <v>158</v>
      </c>
      <c r="L648" s="9">
        <v>2023</v>
      </c>
      <c r="M648" s="8" t="s">
        <v>3649</v>
      </c>
      <c r="N648" s="8" t="s">
        <v>40</v>
      </c>
      <c r="O648" s="8" t="s">
        <v>41</v>
      </c>
      <c r="P648" s="6" t="s">
        <v>75</v>
      </c>
      <c r="Q648" s="8" t="s">
        <v>76</v>
      </c>
      <c r="R648" s="10" t="s">
        <v>1840</v>
      </c>
      <c r="S648" s="11" t="s">
        <v>3650</v>
      </c>
      <c r="T648" s="6"/>
      <c r="U648" s="28" t="str">
        <f>HYPERLINK("https://media.infra-m.ru/1891/1891643/cover/1891643.jpg", "Обложка")</f>
        <v>Обложка</v>
      </c>
      <c r="V648" s="28" t="str">
        <f>HYPERLINK("https://znanium.ru/catalog/product/1891643", "Ознакомиться")</f>
        <v>Ознакомиться</v>
      </c>
      <c r="W648" s="8" t="s">
        <v>3651</v>
      </c>
      <c r="X648" s="6"/>
      <c r="Y648" s="6"/>
      <c r="Z648" s="6"/>
      <c r="AA648" s="6" t="s">
        <v>148</v>
      </c>
    </row>
    <row r="649" spans="1:27" s="4" customFormat="1" ht="51.95" customHeight="1">
      <c r="A649" s="5">
        <v>0</v>
      </c>
      <c r="B649" s="6" t="s">
        <v>3652</v>
      </c>
      <c r="C649" s="7">
        <v>2296.8000000000002</v>
      </c>
      <c r="D649" s="8" t="s">
        <v>3653</v>
      </c>
      <c r="E649" s="8" t="s">
        <v>3654</v>
      </c>
      <c r="F649" s="8" t="s">
        <v>3655</v>
      </c>
      <c r="G649" s="6" t="s">
        <v>58</v>
      </c>
      <c r="H649" s="6" t="s">
        <v>38</v>
      </c>
      <c r="I649" s="8"/>
      <c r="J649" s="9">
        <v>1</v>
      </c>
      <c r="K649" s="9">
        <v>416</v>
      </c>
      <c r="L649" s="9">
        <v>2017</v>
      </c>
      <c r="M649" s="8" t="s">
        <v>3656</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3657</v>
      </c>
      <c r="C650" s="13">
        <v>677.9</v>
      </c>
      <c r="D650" s="8" t="s">
        <v>3658</v>
      </c>
      <c r="E650" s="8" t="s">
        <v>3659</v>
      </c>
      <c r="F650" s="8" t="s">
        <v>3660</v>
      </c>
      <c r="G650" s="6" t="s">
        <v>1764</v>
      </c>
      <c r="H650" s="6" t="s">
        <v>38</v>
      </c>
      <c r="I650" s="8"/>
      <c r="J650" s="9">
        <v>20</v>
      </c>
      <c r="K650" s="9">
        <v>256</v>
      </c>
      <c r="L650" s="9">
        <v>2015</v>
      </c>
      <c r="M650" s="8" t="s">
        <v>3661</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3662</v>
      </c>
      <c r="C651" s="7">
        <v>1464</v>
      </c>
      <c r="D651" s="8" t="s">
        <v>3663</v>
      </c>
      <c r="E651" s="8" t="s">
        <v>3664</v>
      </c>
      <c r="F651" s="8" t="s">
        <v>3660</v>
      </c>
      <c r="G651" s="6" t="s">
        <v>37</v>
      </c>
      <c r="H651" s="6" t="s">
        <v>38</v>
      </c>
      <c r="I651" s="8"/>
      <c r="J651" s="9">
        <v>1</v>
      </c>
      <c r="K651" s="9">
        <v>264</v>
      </c>
      <c r="L651" s="9">
        <v>2023</v>
      </c>
      <c r="M651" s="8" t="s">
        <v>3665</v>
      </c>
      <c r="N651" s="8" t="s">
        <v>40</v>
      </c>
      <c r="O651" s="8" t="s">
        <v>41</v>
      </c>
      <c r="P651" s="6" t="s">
        <v>95</v>
      </c>
      <c r="Q651" s="8" t="s">
        <v>76</v>
      </c>
      <c r="R651" s="10" t="s">
        <v>308</v>
      </c>
      <c r="S651" s="11"/>
      <c r="T651" s="6"/>
      <c r="U651" s="28" t="str">
        <f>HYPERLINK("https://media.infra-m.ru/2033/2033468/cover/2033468.jpg",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3666</v>
      </c>
      <c r="C652" s="7">
        <v>2596.8000000000002</v>
      </c>
      <c r="D652" s="8" t="s">
        <v>3667</v>
      </c>
      <c r="E652" s="8" t="s">
        <v>3668</v>
      </c>
      <c r="F652" s="8" t="s">
        <v>2692</v>
      </c>
      <c r="G652" s="6" t="s">
        <v>37</v>
      </c>
      <c r="H652" s="6" t="s">
        <v>52</v>
      </c>
      <c r="I652" s="8" t="s">
        <v>120</v>
      </c>
      <c r="J652" s="9">
        <v>1</v>
      </c>
      <c r="K652" s="9">
        <v>480</v>
      </c>
      <c r="L652" s="9">
        <v>2023</v>
      </c>
      <c r="M652" s="8" t="s">
        <v>3669</v>
      </c>
      <c r="N652" s="8" t="s">
        <v>40</v>
      </c>
      <c r="O652" s="8" t="s">
        <v>41</v>
      </c>
      <c r="P652" s="6" t="s">
        <v>75</v>
      </c>
      <c r="Q652" s="8" t="s">
        <v>76</v>
      </c>
      <c r="R652" s="10" t="s">
        <v>308</v>
      </c>
      <c r="S652" s="11" t="s">
        <v>3670</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3671</v>
      </c>
      <c r="C653" s="13">
        <v>912</v>
      </c>
      <c r="D653" s="8" t="s">
        <v>3672</v>
      </c>
      <c r="E653" s="8" t="s">
        <v>3673</v>
      </c>
      <c r="F653" s="8" t="s">
        <v>3674</v>
      </c>
      <c r="G653" s="6" t="s">
        <v>37</v>
      </c>
      <c r="H653" s="6" t="s">
        <v>191</v>
      </c>
      <c r="I653" s="8" t="s">
        <v>2209</v>
      </c>
      <c r="J653" s="9">
        <v>1</v>
      </c>
      <c r="K653" s="9">
        <v>223</v>
      </c>
      <c r="L653" s="9">
        <v>2020</v>
      </c>
      <c r="M653" s="8" t="s">
        <v>3675</v>
      </c>
      <c r="N653" s="8" t="s">
        <v>40</v>
      </c>
      <c r="O653" s="8" t="s">
        <v>41</v>
      </c>
      <c r="P653" s="6" t="s">
        <v>75</v>
      </c>
      <c r="Q653" s="8" t="s">
        <v>96</v>
      </c>
      <c r="R653" s="10" t="s">
        <v>97</v>
      </c>
      <c r="S653" s="11" t="s">
        <v>3676</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3677</v>
      </c>
      <c r="C654" s="7">
        <v>1228.8</v>
      </c>
      <c r="D654" s="8" t="s">
        <v>3678</v>
      </c>
      <c r="E654" s="8" t="s">
        <v>3679</v>
      </c>
      <c r="F654" s="8" t="s">
        <v>190</v>
      </c>
      <c r="G654" s="6" t="s">
        <v>58</v>
      </c>
      <c r="H654" s="6" t="s">
        <v>84</v>
      </c>
      <c r="I654" s="8" t="s">
        <v>93</v>
      </c>
      <c r="J654" s="9">
        <v>1</v>
      </c>
      <c r="K654" s="9">
        <v>222</v>
      </c>
      <c r="L654" s="9">
        <v>2024</v>
      </c>
      <c r="M654" s="8" t="s">
        <v>3680</v>
      </c>
      <c r="N654" s="8" t="s">
        <v>40</v>
      </c>
      <c r="O654" s="8" t="s">
        <v>41</v>
      </c>
      <c r="P654" s="6" t="s">
        <v>75</v>
      </c>
      <c r="Q654" s="8" t="s">
        <v>96</v>
      </c>
      <c r="R654" s="10" t="s">
        <v>97</v>
      </c>
      <c r="S654" s="11" t="s">
        <v>3676</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3681</v>
      </c>
      <c r="C655" s="7">
        <v>1384.8</v>
      </c>
      <c r="D655" s="8" t="s">
        <v>3682</v>
      </c>
      <c r="E655" s="8" t="s">
        <v>3673</v>
      </c>
      <c r="F655" s="8" t="s">
        <v>3683</v>
      </c>
      <c r="G655" s="6" t="s">
        <v>58</v>
      </c>
      <c r="H655" s="6" t="s">
        <v>84</v>
      </c>
      <c r="I655" s="8" t="s">
        <v>93</v>
      </c>
      <c r="J655" s="9">
        <v>1</v>
      </c>
      <c r="K655" s="9">
        <v>254</v>
      </c>
      <c r="L655" s="9">
        <v>2023</v>
      </c>
      <c r="M655" s="8" t="s">
        <v>3684</v>
      </c>
      <c r="N655" s="8" t="s">
        <v>40</v>
      </c>
      <c r="O655" s="8" t="s">
        <v>41</v>
      </c>
      <c r="P655" s="6" t="s">
        <v>75</v>
      </c>
      <c r="Q655" s="8" t="s">
        <v>96</v>
      </c>
      <c r="R655" s="10" t="s">
        <v>97</v>
      </c>
      <c r="S655" s="11" t="s">
        <v>3685</v>
      </c>
      <c r="T655" s="6"/>
      <c r="U655" s="28" t="str">
        <f>HYPERLINK("https://media.infra-m.ru/2021/2021431/cover/2021431.jpg", "Обложка")</f>
        <v>Обложка</v>
      </c>
      <c r="V655" s="28" t="str">
        <f>HYPERLINK("https://znanium.ru/catalog/product/1945240", "Ознакомиться")</f>
        <v>Ознакомиться</v>
      </c>
      <c r="W655" s="8" t="s">
        <v>3686</v>
      </c>
      <c r="X655" s="6"/>
      <c r="Y655" s="6"/>
      <c r="Z655" s="6" t="s">
        <v>136</v>
      </c>
      <c r="AA655" s="6" t="s">
        <v>673</v>
      </c>
    </row>
    <row r="656" spans="1:27" s="4" customFormat="1" ht="51.95" customHeight="1">
      <c r="A656" s="5">
        <v>0</v>
      </c>
      <c r="B656" s="6" t="s">
        <v>3687</v>
      </c>
      <c r="C656" s="7">
        <v>1440</v>
      </c>
      <c r="D656" s="8" t="s">
        <v>3688</v>
      </c>
      <c r="E656" s="8" t="s">
        <v>3673</v>
      </c>
      <c r="F656" s="8" t="s">
        <v>3683</v>
      </c>
      <c r="G656" s="6" t="s">
        <v>37</v>
      </c>
      <c r="H656" s="6" t="s">
        <v>84</v>
      </c>
      <c r="I656" s="8" t="s">
        <v>120</v>
      </c>
      <c r="J656" s="9">
        <v>1</v>
      </c>
      <c r="K656" s="9">
        <v>254</v>
      </c>
      <c r="L656" s="9">
        <v>2024</v>
      </c>
      <c r="M656" s="8" t="s">
        <v>3689</v>
      </c>
      <c r="N656" s="8" t="s">
        <v>40</v>
      </c>
      <c r="O656" s="8" t="s">
        <v>41</v>
      </c>
      <c r="P656" s="6" t="s">
        <v>75</v>
      </c>
      <c r="Q656" s="8" t="s">
        <v>76</v>
      </c>
      <c r="R656" s="10" t="s">
        <v>1840</v>
      </c>
      <c r="S656" s="11" t="s">
        <v>3690</v>
      </c>
      <c r="T656" s="6"/>
      <c r="U656" s="28" t="str">
        <f>HYPERLINK("https://media.infra-m.ru/2136/2136004/cover/2136004.jpg", "Обложка")</f>
        <v>Обложка</v>
      </c>
      <c r="V656" s="28" t="str">
        <f>HYPERLINK("https://znanium.ru/catalog/product/2136004", "Ознакомиться")</f>
        <v>Ознакомиться</v>
      </c>
      <c r="W656" s="8" t="s">
        <v>3686</v>
      </c>
      <c r="X656" s="6"/>
      <c r="Y656" s="6"/>
      <c r="Z656" s="6"/>
      <c r="AA656" s="6" t="s">
        <v>891</v>
      </c>
    </row>
    <row r="657" spans="1:27" s="4" customFormat="1" ht="42" customHeight="1">
      <c r="A657" s="5">
        <v>0</v>
      </c>
      <c r="B657" s="6" t="s">
        <v>3691</v>
      </c>
      <c r="C657" s="13">
        <v>732</v>
      </c>
      <c r="D657" s="8" t="s">
        <v>3692</v>
      </c>
      <c r="E657" s="8" t="s">
        <v>3693</v>
      </c>
      <c r="F657" s="8" t="s">
        <v>3694</v>
      </c>
      <c r="G657" s="6" t="s">
        <v>37</v>
      </c>
      <c r="H657" s="6" t="s">
        <v>38</v>
      </c>
      <c r="I657" s="8" t="s">
        <v>93</v>
      </c>
      <c r="J657" s="9">
        <v>1</v>
      </c>
      <c r="K657" s="9">
        <v>160</v>
      </c>
      <c r="L657" s="9">
        <v>2022</v>
      </c>
      <c r="M657" s="8" t="s">
        <v>3695</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3696</v>
      </c>
      <c r="C658" s="7">
        <v>1500</v>
      </c>
      <c r="D658" s="8" t="s">
        <v>3697</v>
      </c>
      <c r="E658" s="8" t="s">
        <v>3693</v>
      </c>
      <c r="F658" s="8" t="s">
        <v>3698</v>
      </c>
      <c r="G658" s="6" t="s">
        <v>58</v>
      </c>
      <c r="H658" s="6" t="s">
        <v>38</v>
      </c>
      <c r="I658" s="8"/>
      <c r="J658" s="9">
        <v>1</v>
      </c>
      <c r="K658" s="9">
        <v>272</v>
      </c>
      <c r="L658" s="9">
        <v>2024</v>
      </c>
      <c r="M658" s="8" t="s">
        <v>3699</v>
      </c>
      <c r="N658" s="8" t="s">
        <v>40</v>
      </c>
      <c r="O658" s="8" t="s">
        <v>41</v>
      </c>
      <c r="P658" s="6" t="s">
        <v>2610</v>
      </c>
      <c r="Q658" s="8" t="s">
        <v>515</v>
      </c>
      <c r="R658" s="10" t="s">
        <v>3700</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3701</v>
      </c>
      <c r="C659" s="7">
        <v>1168.8</v>
      </c>
      <c r="D659" s="8" t="s">
        <v>3702</v>
      </c>
      <c r="E659" s="8" t="s">
        <v>3693</v>
      </c>
      <c r="F659" s="8" t="s">
        <v>2284</v>
      </c>
      <c r="G659" s="6" t="s">
        <v>37</v>
      </c>
      <c r="H659" s="6" t="s">
        <v>84</v>
      </c>
      <c r="I659" s="8" t="s">
        <v>184</v>
      </c>
      <c r="J659" s="9">
        <v>1</v>
      </c>
      <c r="K659" s="9">
        <v>209</v>
      </c>
      <c r="L659" s="9">
        <v>2023</v>
      </c>
      <c r="M659" s="8" t="s">
        <v>3703</v>
      </c>
      <c r="N659" s="8" t="s">
        <v>40</v>
      </c>
      <c r="O659" s="8" t="s">
        <v>41</v>
      </c>
      <c r="P659" s="6" t="s">
        <v>75</v>
      </c>
      <c r="Q659" s="8" t="s">
        <v>76</v>
      </c>
      <c r="R659" s="10" t="s">
        <v>3704</v>
      </c>
      <c r="S659" s="11" t="s">
        <v>3705</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3706</v>
      </c>
      <c r="C660" s="7">
        <v>1176</v>
      </c>
      <c r="D660" s="8" t="s">
        <v>3707</v>
      </c>
      <c r="E660" s="8" t="s">
        <v>3693</v>
      </c>
      <c r="F660" s="8" t="s">
        <v>2284</v>
      </c>
      <c r="G660" s="6" t="s">
        <v>58</v>
      </c>
      <c r="H660" s="6" t="s">
        <v>84</v>
      </c>
      <c r="I660" s="8" t="s">
        <v>93</v>
      </c>
      <c r="J660" s="9">
        <v>1</v>
      </c>
      <c r="K660" s="9">
        <v>209</v>
      </c>
      <c r="L660" s="9">
        <v>2023</v>
      </c>
      <c r="M660" s="8" t="s">
        <v>3708</v>
      </c>
      <c r="N660" s="8" t="s">
        <v>40</v>
      </c>
      <c r="O660" s="8" t="s">
        <v>41</v>
      </c>
      <c r="P660" s="6" t="s">
        <v>75</v>
      </c>
      <c r="Q660" s="8" t="s">
        <v>96</v>
      </c>
      <c r="R660" s="10" t="s">
        <v>97</v>
      </c>
      <c r="S660" s="11" t="s">
        <v>3709</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3710</v>
      </c>
      <c r="C661" s="7">
        <v>1932</v>
      </c>
      <c r="D661" s="8" t="s">
        <v>3711</v>
      </c>
      <c r="E661" s="8" t="s">
        <v>3712</v>
      </c>
      <c r="F661" s="8" t="s">
        <v>3683</v>
      </c>
      <c r="G661" s="6" t="s">
        <v>37</v>
      </c>
      <c r="H661" s="6" t="s">
        <v>84</v>
      </c>
      <c r="I661" s="8" t="s">
        <v>320</v>
      </c>
      <c r="J661" s="9">
        <v>1</v>
      </c>
      <c r="K661" s="9">
        <v>353</v>
      </c>
      <c r="L661" s="9">
        <v>2023</v>
      </c>
      <c r="M661" s="8" t="s">
        <v>3713</v>
      </c>
      <c r="N661" s="8" t="s">
        <v>40</v>
      </c>
      <c r="O661" s="8" t="s">
        <v>41</v>
      </c>
      <c r="P661" s="6" t="s">
        <v>95</v>
      </c>
      <c r="Q661" s="8" t="s">
        <v>157</v>
      </c>
      <c r="R661" s="10" t="s">
        <v>122</v>
      </c>
      <c r="S661" s="11" t="s">
        <v>3714</v>
      </c>
      <c r="T661" s="6"/>
      <c r="U661" s="28" t="str">
        <f>HYPERLINK("https://media.infra-m.ru/1901/1901771/cover/1901771.jpg", "Обложка")</f>
        <v>Обложка</v>
      </c>
      <c r="V661" s="28" t="str">
        <f>HYPERLINK("https://znanium.ru/catalog/product/1901771", "Ознакомиться")</f>
        <v>Ознакомиться</v>
      </c>
      <c r="W661" s="8" t="s">
        <v>3686</v>
      </c>
      <c r="X661" s="6"/>
      <c r="Y661" s="6"/>
      <c r="Z661" s="6"/>
      <c r="AA661" s="6" t="s">
        <v>46</v>
      </c>
    </row>
    <row r="662" spans="1:27" s="4" customFormat="1" ht="42" customHeight="1">
      <c r="A662" s="5">
        <v>0</v>
      </c>
      <c r="B662" s="6" t="s">
        <v>3715</v>
      </c>
      <c r="C662" s="7">
        <v>1264.8</v>
      </c>
      <c r="D662" s="8" t="s">
        <v>3716</v>
      </c>
      <c r="E662" s="8" t="s">
        <v>3717</v>
      </c>
      <c r="F662" s="8" t="s">
        <v>3718</v>
      </c>
      <c r="G662" s="6" t="s">
        <v>37</v>
      </c>
      <c r="H662" s="6" t="s">
        <v>38</v>
      </c>
      <c r="I662" s="8"/>
      <c r="J662" s="9">
        <v>1</v>
      </c>
      <c r="K662" s="9">
        <v>224</v>
      </c>
      <c r="L662" s="9">
        <v>2024</v>
      </c>
      <c r="M662" s="8" t="s">
        <v>3719</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3720</v>
      </c>
      <c r="C663" s="7">
        <v>1764</v>
      </c>
      <c r="D663" s="8" t="s">
        <v>3721</v>
      </c>
      <c r="E663" s="8" t="s">
        <v>3722</v>
      </c>
      <c r="F663" s="8" t="s">
        <v>3723</v>
      </c>
      <c r="G663" s="6" t="s">
        <v>37</v>
      </c>
      <c r="H663" s="6" t="s">
        <v>38</v>
      </c>
      <c r="I663" s="8"/>
      <c r="J663" s="9">
        <v>1</v>
      </c>
      <c r="K663" s="9">
        <v>320</v>
      </c>
      <c r="L663" s="9">
        <v>2024</v>
      </c>
      <c r="M663" s="8" t="s">
        <v>3724</v>
      </c>
      <c r="N663" s="8" t="s">
        <v>40</v>
      </c>
      <c r="O663" s="8" t="s">
        <v>41</v>
      </c>
      <c r="P663" s="6" t="s">
        <v>42</v>
      </c>
      <c r="Q663" s="8" t="s">
        <v>43</v>
      </c>
      <c r="R663" s="10" t="s">
        <v>3725</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3726</v>
      </c>
      <c r="C664" s="13">
        <v>492</v>
      </c>
      <c r="D664" s="8" t="s">
        <v>3727</v>
      </c>
      <c r="E664" s="8" t="s">
        <v>3728</v>
      </c>
      <c r="F664" s="8" t="s">
        <v>747</v>
      </c>
      <c r="G664" s="6" t="s">
        <v>830</v>
      </c>
      <c r="H664" s="6" t="s">
        <v>38</v>
      </c>
      <c r="I664" s="8"/>
      <c r="J664" s="9">
        <v>1</v>
      </c>
      <c r="K664" s="9">
        <v>40</v>
      </c>
      <c r="L664" s="9">
        <v>2024</v>
      </c>
      <c r="M664" s="8" t="s">
        <v>3729</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3730</v>
      </c>
      <c r="C665" s="7">
        <v>1440</v>
      </c>
      <c r="D665" s="8" t="s">
        <v>3731</v>
      </c>
      <c r="E665" s="8" t="s">
        <v>3732</v>
      </c>
      <c r="F665" s="8" t="s">
        <v>3733</v>
      </c>
      <c r="G665" s="6" t="s">
        <v>37</v>
      </c>
      <c r="H665" s="6" t="s">
        <v>84</v>
      </c>
      <c r="I665" s="8" t="s">
        <v>320</v>
      </c>
      <c r="J665" s="9">
        <v>1</v>
      </c>
      <c r="K665" s="9">
        <v>227</v>
      </c>
      <c r="L665" s="9">
        <v>2024</v>
      </c>
      <c r="M665" s="8" t="s">
        <v>3734</v>
      </c>
      <c r="N665" s="8" t="s">
        <v>40</v>
      </c>
      <c r="O665" s="8" t="s">
        <v>41</v>
      </c>
      <c r="P665" s="6" t="s">
        <v>75</v>
      </c>
      <c r="Q665" s="8" t="s">
        <v>157</v>
      </c>
      <c r="R665" s="10" t="s">
        <v>3735</v>
      </c>
      <c r="S665" s="11" t="s">
        <v>3736</v>
      </c>
      <c r="T665" s="6"/>
      <c r="U665" s="28" t="str">
        <f>HYPERLINK("https://media.infra-m.ru/2087/2087718/cover/2087718.jpg", "Обложка")</f>
        <v>Обложка</v>
      </c>
      <c r="V665" s="28" t="str">
        <f>HYPERLINK("https://znanium.ru/catalog/product/2087718", "Ознакомиться")</f>
        <v>Ознакомиться</v>
      </c>
      <c r="W665" s="8" t="s">
        <v>3737</v>
      </c>
      <c r="X665" s="6"/>
      <c r="Y665" s="6"/>
      <c r="Z665" s="6"/>
      <c r="AA665" s="6" t="s">
        <v>353</v>
      </c>
    </row>
    <row r="666" spans="1:27" s="4" customFormat="1" ht="51.95" customHeight="1">
      <c r="A666" s="5">
        <v>0</v>
      </c>
      <c r="B666" s="6" t="s">
        <v>3738</v>
      </c>
      <c r="C666" s="13">
        <v>372</v>
      </c>
      <c r="D666" s="8" t="s">
        <v>3739</v>
      </c>
      <c r="E666" s="8" t="s">
        <v>3740</v>
      </c>
      <c r="F666" s="8" t="s">
        <v>3741</v>
      </c>
      <c r="G666" s="6" t="s">
        <v>830</v>
      </c>
      <c r="H666" s="6" t="s">
        <v>38</v>
      </c>
      <c r="I666" s="8"/>
      <c r="J666" s="9">
        <v>1</v>
      </c>
      <c r="K666" s="9">
        <v>36</v>
      </c>
      <c r="L666" s="9">
        <v>2024</v>
      </c>
      <c r="M666" s="8" t="s">
        <v>3742</v>
      </c>
      <c r="N666" s="8" t="s">
        <v>40</v>
      </c>
      <c r="O666" s="8" t="s">
        <v>41</v>
      </c>
      <c r="P666" s="6" t="s">
        <v>75</v>
      </c>
      <c r="Q666" s="8" t="s">
        <v>76</v>
      </c>
      <c r="R666" s="10" t="s">
        <v>3743</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3744</v>
      </c>
      <c r="C667" s="13">
        <v>650.29999999999995</v>
      </c>
      <c r="D667" s="8" t="s">
        <v>3745</v>
      </c>
      <c r="E667" s="8" t="s">
        <v>3746</v>
      </c>
      <c r="F667" s="8" t="s">
        <v>3747</v>
      </c>
      <c r="G667" s="6" t="s">
        <v>26</v>
      </c>
      <c r="H667" s="6" t="s">
        <v>38</v>
      </c>
      <c r="I667" s="8"/>
      <c r="J667" s="14">
        <v>0</v>
      </c>
      <c r="K667" s="9">
        <v>320</v>
      </c>
      <c r="L667" s="9">
        <v>2016</v>
      </c>
      <c r="M667" s="8" t="s">
        <v>3748</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3749</v>
      </c>
      <c r="C668" s="7">
        <v>1787.9</v>
      </c>
      <c r="D668" s="8" t="s">
        <v>3750</v>
      </c>
      <c r="E668" s="8" t="s">
        <v>3751</v>
      </c>
      <c r="F668" s="8" t="s">
        <v>3752</v>
      </c>
      <c r="G668" s="6" t="s">
        <v>58</v>
      </c>
      <c r="H668" s="6" t="s">
        <v>38</v>
      </c>
      <c r="I668" s="8"/>
      <c r="J668" s="9">
        <v>1</v>
      </c>
      <c r="K668" s="9">
        <v>388</v>
      </c>
      <c r="L668" s="9">
        <v>2022</v>
      </c>
      <c r="M668" s="8" t="s">
        <v>3753</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3754</v>
      </c>
      <c r="C669" s="13">
        <v>372</v>
      </c>
      <c r="D669" s="8" t="s">
        <v>3755</v>
      </c>
      <c r="E669" s="8" t="s">
        <v>3756</v>
      </c>
      <c r="F669" s="8" t="s">
        <v>3757</v>
      </c>
      <c r="G669" s="6" t="s">
        <v>51</v>
      </c>
      <c r="H669" s="6" t="s">
        <v>38</v>
      </c>
      <c r="I669" s="8"/>
      <c r="J669" s="9">
        <v>1</v>
      </c>
      <c r="K669" s="9">
        <v>52</v>
      </c>
      <c r="L669" s="9">
        <v>2023</v>
      </c>
      <c r="M669" s="8" t="s">
        <v>3758</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3759</v>
      </c>
      <c r="C670" s="7">
        <v>1392</v>
      </c>
      <c r="D670" s="8" t="s">
        <v>3760</v>
      </c>
      <c r="E670" s="8" t="s">
        <v>3761</v>
      </c>
      <c r="F670" s="8" t="s">
        <v>3762</v>
      </c>
      <c r="G670" s="6" t="s">
        <v>58</v>
      </c>
      <c r="H670" s="6" t="s">
        <v>38</v>
      </c>
      <c r="I670" s="8"/>
      <c r="J670" s="9">
        <v>1</v>
      </c>
      <c r="K670" s="9">
        <v>240</v>
      </c>
      <c r="L670" s="9">
        <v>2024</v>
      </c>
      <c r="M670" s="8" t="s">
        <v>3763</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3764</v>
      </c>
      <c r="C671" s="13">
        <v>912</v>
      </c>
      <c r="D671" s="8" t="s">
        <v>3765</v>
      </c>
      <c r="E671" s="8" t="s">
        <v>3766</v>
      </c>
      <c r="F671" s="8" t="s">
        <v>3741</v>
      </c>
      <c r="G671" s="6" t="s">
        <v>58</v>
      </c>
      <c r="H671" s="6" t="s">
        <v>38</v>
      </c>
      <c r="I671" s="8" t="s">
        <v>93</v>
      </c>
      <c r="J671" s="9">
        <v>1</v>
      </c>
      <c r="K671" s="9">
        <v>152</v>
      </c>
      <c r="L671" s="9">
        <v>2024</v>
      </c>
      <c r="M671" s="8" t="s">
        <v>3767</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3768</v>
      </c>
      <c r="C672" s="13">
        <v>821.9</v>
      </c>
      <c r="D672" s="8" t="s">
        <v>3769</v>
      </c>
      <c r="E672" s="8" t="s">
        <v>3761</v>
      </c>
      <c r="F672" s="8" t="s">
        <v>3741</v>
      </c>
      <c r="G672" s="6" t="s">
        <v>58</v>
      </c>
      <c r="H672" s="6" t="s">
        <v>38</v>
      </c>
      <c r="I672" s="8" t="s">
        <v>93</v>
      </c>
      <c r="J672" s="9">
        <v>1</v>
      </c>
      <c r="K672" s="9">
        <v>152</v>
      </c>
      <c r="L672" s="9">
        <v>2023</v>
      </c>
      <c r="M672" s="8" t="s">
        <v>3770</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3771</v>
      </c>
      <c r="C673" s="7">
        <v>1116</v>
      </c>
      <c r="D673" s="8" t="s">
        <v>3772</v>
      </c>
      <c r="E673" s="8" t="s">
        <v>3761</v>
      </c>
      <c r="F673" s="8" t="s">
        <v>3773</v>
      </c>
      <c r="G673" s="6" t="s">
        <v>37</v>
      </c>
      <c r="H673" s="6" t="s">
        <v>52</v>
      </c>
      <c r="I673" s="8" t="s">
        <v>120</v>
      </c>
      <c r="J673" s="9">
        <v>1</v>
      </c>
      <c r="K673" s="9">
        <v>206</v>
      </c>
      <c r="L673" s="9">
        <v>2023</v>
      </c>
      <c r="M673" s="8" t="s">
        <v>3774</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3775</v>
      </c>
      <c r="C674" s="13">
        <v>875.9</v>
      </c>
      <c r="D674" s="8" t="s">
        <v>3776</v>
      </c>
      <c r="E674" s="8" t="s">
        <v>3777</v>
      </c>
      <c r="F674" s="8" t="s">
        <v>3778</v>
      </c>
      <c r="G674" s="6" t="s">
        <v>37</v>
      </c>
      <c r="H674" s="6" t="s">
        <v>38</v>
      </c>
      <c r="I674" s="8"/>
      <c r="J674" s="9">
        <v>1</v>
      </c>
      <c r="K674" s="9">
        <v>160</v>
      </c>
      <c r="L674" s="9">
        <v>2022</v>
      </c>
      <c r="M674" s="8" t="s">
        <v>3779</v>
      </c>
      <c r="N674" s="8" t="s">
        <v>40</v>
      </c>
      <c r="O674" s="8" t="s">
        <v>41</v>
      </c>
      <c r="P674" s="6" t="s">
        <v>75</v>
      </c>
      <c r="Q674" s="8" t="s">
        <v>157</v>
      </c>
      <c r="R674" s="10" t="s">
        <v>3780</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3781</v>
      </c>
      <c r="C675" s="13">
        <v>708</v>
      </c>
      <c r="D675" s="8" t="s">
        <v>3782</v>
      </c>
      <c r="E675" s="8" t="s">
        <v>3783</v>
      </c>
      <c r="F675" s="8" t="s">
        <v>3778</v>
      </c>
      <c r="G675" s="6" t="s">
        <v>58</v>
      </c>
      <c r="H675" s="6" t="s">
        <v>38</v>
      </c>
      <c r="I675" s="8" t="s">
        <v>93</v>
      </c>
      <c r="J675" s="9">
        <v>1</v>
      </c>
      <c r="K675" s="9">
        <v>160</v>
      </c>
      <c r="L675" s="9">
        <v>2019</v>
      </c>
      <c r="M675" s="8" t="s">
        <v>3784</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3785</v>
      </c>
      <c r="C676" s="13">
        <v>780</v>
      </c>
      <c r="D676" s="8" t="s">
        <v>3786</v>
      </c>
      <c r="E676" s="8" t="s">
        <v>3783</v>
      </c>
      <c r="F676" s="8" t="s">
        <v>3778</v>
      </c>
      <c r="G676" s="6" t="s">
        <v>37</v>
      </c>
      <c r="H676" s="6" t="s">
        <v>38</v>
      </c>
      <c r="I676" s="8"/>
      <c r="J676" s="9">
        <v>1</v>
      </c>
      <c r="K676" s="9">
        <v>160</v>
      </c>
      <c r="L676" s="9">
        <v>2021</v>
      </c>
      <c r="M676" s="8" t="s">
        <v>3787</v>
      </c>
      <c r="N676" s="8" t="s">
        <v>40</v>
      </c>
      <c r="O676" s="8" t="s">
        <v>41</v>
      </c>
      <c r="P676" s="6" t="s">
        <v>75</v>
      </c>
      <c r="Q676" s="8" t="s">
        <v>157</v>
      </c>
      <c r="R676" s="10" t="s">
        <v>3780</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3788</v>
      </c>
      <c r="C677" s="7">
        <v>1248</v>
      </c>
      <c r="D677" s="8" t="s">
        <v>3789</v>
      </c>
      <c r="E677" s="8" t="s">
        <v>3790</v>
      </c>
      <c r="F677" s="8" t="s">
        <v>3791</v>
      </c>
      <c r="G677" s="6" t="s">
        <v>37</v>
      </c>
      <c r="H677" s="6" t="s">
        <v>38</v>
      </c>
      <c r="I677" s="8"/>
      <c r="J677" s="9">
        <v>1</v>
      </c>
      <c r="K677" s="9">
        <v>224</v>
      </c>
      <c r="L677" s="9">
        <v>2024</v>
      </c>
      <c r="M677" s="8" t="s">
        <v>3792</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3793</v>
      </c>
      <c r="X677" s="6"/>
      <c r="Y677" s="6"/>
      <c r="Z677" s="6"/>
      <c r="AA677" s="6" t="s">
        <v>865</v>
      </c>
    </row>
    <row r="678" spans="1:27" s="4" customFormat="1" ht="42" customHeight="1">
      <c r="A678" s="5">
        <v>0</v>
      </c>
      <c r="B678" s="6" t="s">
        <v>3794</v>
      </c>
      <c r="C678" s="7">
        <v>1644</v>
      </c>
      <c r="D678" s="8" t="s">
        <v>3795</v>
      </c>
      <c r="E678" s="8" t="s">
        <v>3796</v>
      </c>
      <c r="F678" s="8" t="s">
        <v>3797</v>
      </c>
      <c r="G678" s="6" t="s">
        <v>58</v>
      </c>
      <c r="H678" s="6" t="s">
        <v>84</v>
      </c>
      <c r="I678" s="8" t="s">
        <v>250</v>
      </c>
      <c r="J678" s="9">
        <v>1</v>
      </c>
      <c r="K678" s="9">
        <v>290</v>
      </c>
      <c r="L678" s="9">
        <v>2024</v>
      </c>
      <c r="M678" s="8" t="s">
        <v>3798</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3799</v>
      </c>
      <c r="X678" s="6" t="s">
        <v>3280</v>
      </c>
      <c r="Y678" s="6"/>
      <c r="Z678" s="6"/>
      <c r="AA678" s="6" t="s">
        <v>100</v>
      </c>
    </row>
    <row r="679" spans="1:27" s="4" customFormat="1" ht="51.95" customHeight="1">
      <c r="A679" s="5">
        <v>0</v>
      </c>
      <c r="B679" s="6" t="s">
        <v>3800</v>
      </c>
      <c r="C679" s="13">
        <v>401.9</v>
      </c>
      <c r="D679" s="8" t="s">
        <v>3801</v>
      </c>
      <c r="E679" s="8" t="s">
        <v>3802</v>
      </c>
      <c r="F679" s="8" t="s">
        <v>3803</v>
      </c>
      <c r="G679" s="6" t="s">
        <v>51</v>
      </c>
      <c r="H679" s="6" t="s">
        <v>84</v>
      </c>
      <c r="I679" s="8" t="s">
        <v>85</v>
      </c>
      <c r="J679" s="9">
        <v>1</v>
      </c>
      <c r="K679" s="9">
        <v>96</v>
      </c>
      <c r="L679" s="9">
        <v>2020</v>
      </c>
      <c r="M679" s="8" t="s">
        <v>3804</v>
      </c>
      <c r="N679" s="8" t="s">
        <v>40</v>
      </c>
      <c r="O679" s="8" t="s">
        <v>41</v>
      </c>
      <c r="P679" s="6" t="s">
        <v>42</v>
      </c>
      <c r="Q679" s="8" t="s">
        <v>43</v>
      </c>
      <c r="R679" s="10" t="s">
        <v>3805</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3806</v>
      </c>
      <c r="C680" s="7">
        <v>1068</v>
      </c>
      <c r="D680" s="8" t="s">
        <v>3807</v>
      </c>
      <c r="E680" s="8" t="s">
        <v>3808</v>
      </c>
      <c r="F680" s="8" t="s">
        <v>3809</v>
      </c>
      <c r="G680" s="6" t="s">
        <v>58</v>
      </c>
      <c r="H680" s="6" t="s">
        <v>84</v>
      </c>
      <c r="I680" s="8" t="s">
        <v>85</v>
      </c>
      <c r="J680" s="9">
        <v>1</v>
      </c>
      <c r="K680" s="9">
        <v>184</v>
      </c>
      <c r="L680" s="9">
        <v>2023</v>
      </c>
      <c r="M680" s="8" t="s">
        <v>3810</v>
      </c>
      <c r="N680" s="8" t="s">
        <v>40</v>
      </c>
      <c r="O680" s="8" t="s">
        <v>41</v>
      </c>
      <c r="P680" s="6" t="s">
        <v>68</v>
      </c>
      <c r="Q680" s="8" t="s">
        <v>43</v>
      </c>
      <c r="R680" s="10" t="s">
        <v>3811</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3812</v>
      </c>
      <c r="C681" s="7">
        <v>1104</v>
      </c>
      <c r="D681" s="8" t="s">
        <v>3813</v>
      </c>
      <c r="E681" s="8" t="s">
        <v>3814</v>
      </c>
      <c r="F681" s="8" t="s">
        <v>3815</v>
      </c>
      <c r="G681" s="6" t="s">
        <v>58</v>
      </c>
      <c r="H681" s="6" t="s">
        <v>84</v>
      </c>
      <c r="I681" s="8" t="s">
        <v>85</v>
      </c>
      <c r="J681" s="9">
        <v>1</v>
      </c>
      <c r="K681" s="9">
        <v>192</v>
      </c>
      <c r="L681" s="9">
        <v>2023</v>
      </c>
      <c r="M681" s="8" t="s">
        <v>3816</v>
      </c>
      <c r="N681" s="8" t="s">
        <v>40</v>
      </c>
      <c r="O681" s="8" t="s">
        <v>41</v>
      </c>
      <c r="P681" s="6" t="s">
        <v>68</v>
      </c>
      <c r="Q681" s="8" t="s">
        <v>43</v>
      </c>
      <c r="R681" s="10" t="s">
        <v>3817</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3818</v>
      </c>
      <c r="C682" s="13">
        <v>892.8</v>
      </c>
      <c r="D682" s="8" t="s">
        <v>3819</v>
      </c>
      <c r="E682" s="8" t="s">
        <v>3820</v>
      </c>
      <c r="F682" s="8" t="s">
        <v>3821</v>
      </c>
      <c r="G682" s="6" t="s">
        <v>51</v>
      </c>
      <c r="H682" s="6" t="s">
        <v>38</v>
      </c>
      <c r="I682" s="8"/>
      <c r="J682" s="9">
        <v>1</v>
      </c>
      <c r="K682" s="9">
        <v>160</v>
      </c>
      <c r="L682" s="9">
        <v>2024</v>
      </c>
      <c r="M682" s="8" t="s">
        <v>3822</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3823</v>
      </c>
      <c r="C683" s="7">
        <v>3960</v>
      </c>
      <c r="D683" s="8" t="s">
        <v>3824</v>
      </c>
      <c r="E683" s="8" t="s">
        <v>3825</v>
      </c>
      <c r="F683" s="8" t="s">
        <v>1436</v>
      </c>
      <c r="G683" s="6" t="s">
        <v>58</v>
      </c>
      <c r="H683" s="6" t="s">
        <v>38</v>
      </c>
      <c r="I683" s="8"/>
      <c r="J683" s="9">
        <v>1</v>
      </c>
      <c r="K683" s="9">
        <v>656</v>
      </c>
      <c r="L683" s="9">
        <v>2024</v>
      </c>
      <c r="M683" s="8" t="s">
        <v>3826</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3827</v>
      </c>
    </row>
    <row r="684" spans="1:27" s="4" customFormat="1" ht="51.95" customHeight="1">
      <c r="A684" s="5">
        <v>0</v>
      </c>
      <c r="B684" s="6" t="s">
        <v>3828</v>
      </c>
      <c r="C684" s="7">
        <v>2640</v>
      </c>
      <c r="D684" s="8" t="s">
        <v>3829</v>
      </c>
      <c r="E684" s="8" t="s">
        <v>3830</v>
      </c>
      <c r="F684" s="8" t="s">
        <v>3831</v>
      </c>
      <c r="G684" s="6" t="s">
        <v>37</v>
      </c>
      <c r="H684" s="6" t="s">
        <v>52</v>
      </c>
      <c r="I684" s="8" t="s">
        <v>1641</v>
      </c>
      <c r="J684" s="9">
        <v>1</v>
      </c>
      <c r="K684" s="9">
        <v>578</v>
      </c>
      <c r="L684" s="9">
        <v>2022</v>
      </c>
      <c r="M684" s="8" t="s">
        <v>3832</v>
      </c>
      <c r="N684" s="8" t="s">
        <v>40</v>
      </c>
      <c r="O684" s="8" t="s">
        <v>41</v>
      </c>
      <c r="P684" s="6" t="s">
        <v>42</v>
      </c>
      <c r="Q684" s="8" t="s">
        <v>43</v>
      </c>
      <c r="R684" s="10" t="s">
        <v>3833</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3834</v>
      </c>
      <c r="C685" s="7">
        <v>2117.9</v>
      </c>
      <c r="D685" s="8" t="s">
        <v>3835</v>
      </c>
      <c r="E685" s="8" t="s">
        <v>3836</v>
      </c>
      <c r="F685" s="8" t="s">
        <v>3837</v>
      </c>
      <c r="G685" s="6" t="s">
        <v>58</v>
      </c>
      <c r="H685" s="6" t="s">
        <v>84</v>
      </c>
      <c r="I685" s="8" t="s">
        <v>85</v>
      </c>
      <c r="J685" s="9">
        <v>1</v>
      </c>
      <c r="K685" s="9">
        <v>392</v>
      </c>
      <c r="L685" s="9">
        <v>2023</v>
      </c>
      <c r="M685" s="8" t="s">
        <v>3838</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3839</v>
      </c>
      <c r="C686" s="7">
        <v>1860</v>
      </c>
      <c r="D686" s="8" t="s">
        <v>3840</v>
      </c>
      <c r="E686" s="8" t="s">
        <v>3841</v>
      </c>
      <c r="F686" s="8" t="s">
        <v>3842</v>
      </c>
      <c r="G686" s="6" t="s">
        <v>37</v>
      </c>
      <c r="H686" s="6" t="s">
        <v>38</v>
      </c>
      <c r="I686" s="8"/>
      <c r="J686" s="9">
        <v>1</v>
      </c>
      <c r="K686" s="9">
        <v>344</v>
      </c>
      <c r="L686" s="9">
        <v>2023</v>
      </c>
      <c r="M686" s="8" t="s">
        <v>3843</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3844</v>
      </c>
      <c r="C687" s="13">
        <v>720</v>
      </c>
      <c r="D687" s="8" t="s">
        <v>3845</v>
      </c>
      <c r="E687" s="8" t="s">
        <v>3846</v>
      </c>
      <c r="F687" s="8" t="s">
        <v>3847</v>
      </c>
      <c r="G687" s="6" t="s">
        <v>51</v>
      </c>
      <c r="H687" s="6" t="s">
        <v>84</v>
      </c>
      <c r="I687" s="8" t="s">
        <v>250</v>
      </c>
      <c r="J687" s="9">
        <v>1</v>
      </c>
      <c r="K687" s="9">
        <v>159</v>
      </c>
      <c r="L687" s="9">
        <v>2022</v>
      </c>
      <c r="M687" s="8" t="s">
        <v>3848</v>
      </c>
      <c r="N687" s="8" t="s">
        <v>40</v>
      </c>
      <c r="O687" s="8" t="s">
        <v>41</v>
      </c>
      <c r="P687" s="6" t="s">
        <v>42</v>
      </c>
      <c r="Q687" s="8" t="s">
        <v>43</v>
      </c>
      <c r="R687" s="10" t="s">
        <v>3849</v>
      </c>
      <c r="S687" s="11"/>
      <c r="T687" s="6"/>
      <c r="U687" s="28" t="str">
        <f>HYPERLINK("https://media.infra-m.ru/1739/1739424/cover/1739424.jpg", "Обложка")</f>
        <v>Обложка</v>
      </c>
      <c r="V687" s="28" t="str">
        <f>HYPERLINK("https://znanium.ru/catalog/product/906414", "Ознакомиться")</f>
        <v>Ознакомиться</v>
      </c>
      <c r="W687" s="8" t="s">
        <v>3850</v>
      </c>
      <c r="X687" s="6"/>
      <c r="Y687" s="6"/>
      <c r="Z687" s="6"/>
      <c r="AA687" s="6" t="s">
        <v>424</v>
      </c>
    </row>
    <row r="688" spans="1:27" s="4" customFormat="1" ht="44.1" customHeight="1">
      <c r="A688" s="5">
        <v>0</v>
      </c>
      <c r="B688" s="6" t="s">
        <v>3851</v>
      </c>
      <c r="C688" s="7">
        <v>1428</v>
      </c>
      <c r="D688" s="8" t="s">
        <v>3852</v>
      </c>
      <c r="E688" s="8" t="s">
        <v>3853</v>
      </c>
      <c r="F688" s="8" t="s">
        <v>3854</v>
      </c>
      <c r="G688" s="6" t="s">
        <v>37</v>
      </c>
      <c r="H688" s="6" t="s">
        <v>38</v>
      </c>
      <c r="I688" s="8"/>
      <c r="J688" s="9">
        <v>1</v>
      </c>
      <c r="K688" s="9">
        <v>304</v>
      </c>
      <c r="L688" s="9">
        <v>2022</v>
      </c>
      <c r="M688" s="8" t="s">
        <v>3855</v>
      </c>
      <c r="N688" s="8" t="s">
        <v>40</v>
      </c>
      <c r="O688" s="8" t="s">
        <v>41</v>
      </c>
      <c r="P688" s="6" t="s">
        <v>42</v>
      </c>
      <c r="Q688" s="8" t="s">
        <v>43</v>
      </c>
      <c r="R688" s="10" t="s">
        <v>3856</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3857</v>
      </c>
      <c r="C689" s="13">
        <v>977.9</v>
      </c>
      <c r="D689" s="8" t="s">
        <v>3858</v>
      </c>
      <c r="E689" s="8" t="s">
        <v>3859</v>
      </c>
      <c r="F689" s="8" t="s">
        <v>3860</v>
      </c>
      <c r="G689" s="6" t="s">
        <v>58</v>
      </c>
      <c r="H689" s="6" t="s">
        <v>38</v>
      </c>
      <c r="I689" s="8"/>
      <c r="J689" s="9">
        <v>1</v>
      </c>
      <c r="K689" s="9">
        <v>208</v>
      </c>
      <c r="L689" s="9">
        <v>2022</v>
      </c>
      <c r="M689" s="8" t="s">
        <v>3861</v>
      </c>
      <c r="N689" s="8" t="s">
        <v>40</v>
      </c>
      <c r="O689" s="8" t="s">
        <v>41</v>
      </c>
      <c r="P689" s="6" t="s">
        <v>42</v>
      </c>
      <c r="Q689" s="8" t="s">
        <v>43</v>
      </c>
      <c r="R689" s="10" t="s">
        <v>3862</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3863</v>
      </c>
      <c r="C690" s="7">
        <v>1128</v>
      </c>
      <c r="D690" s="8" t="s">
        <v>3864</v>
      </c>
      <c r="E690" s="8" t="s">
        <v>3865</v>
      </c>
      <c r="F690" s="8" t="s">
        <v>3866</v>
      </c>
      <c r="G690" s="6" t="s">
        <v>51</v>
      </c>
      <c r="H690" s="6" t="s">
        <v>38</v>
      </c>
      <c r="I690" s="8"/>
      <c r="J690" s="9">
        <v>1</v>
      </c>
      <c r="K690" s="9">
        <v>208</v>
      </c>
      <c r="L690" s="9">
        <v>2023</v>
      </c>
      <c r="M690" s="8" t="s">
        <v>3867</v>
      </c>
      <c r="N690" s="8" t="s">
        <v>40</v>
      </c>
      <c r="O690" s="8" t="s">
        <v>41</v>
      </c>
      <c r="P690" s="6" t="s">
        <v>42</v>
      </c>
      <c r="Q690" s="8" t="s">
        <v>43</v>
      </c>
      <c r="R690" s="10" t="s">
        <v>3868</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3869</v>
      </c>
      <c r="C691" s="7">
        <v>1072.8</v>
      </c>
      <c r="D691" s="8" t="s">
        <v>3870</v>
      </c>
      <c r="E691" s="8" t="s">
        <v>3871</v>
      </c>
      <c r="F691" s="8" t="s">
        <v>3872</v>
      </c>
      <c r="G691" s="6" t="s">
        <v>37</v>
      </c>
      <c r="H691" s="6" t="s">
        <v>38</v>
      </c>
      <c r="I691" s="8"/>
      <c r="J691" s="9">
        <v>1</v>
      </c>
      <c r="K691" s="9">
        <v>192</v>
      </c>
      <c r="L691" s="9">
        <v>2023</v>
      </c>
      <c r="M691" s="8" t="s">
        <v>3873</v>
      </c>
      <c r="N691" s="8" t="s">
        <v>40</v>
      </c>
      <c r="O691" s="8" t="s">
        <v>41</v>
      </c>
      <c r="P691" s="6" t="s">
        <v>42</v>
      </c>
      <c r="Q691" s="8" t="s">
        <v>43</v>
      </c>
      <c r="R691" s="10" t="s">
        <v>3874</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3875</v>
      </c>
      <c r="C692" s="7">
        <v>2021.9</v>
      </c>
      <c r="D692" s="8" t="s">
        <v>3876</v>
      </c>
      <c r="E692" s="8" t="s">
        <v>3877</v>
      </c>
      <c r="F692" s="8" t="s">
        <v>2066</v>
      </c>
      <c r="G692" s="6" t="s">
        <v>51</v>
      </c>
      <c r="H692" s="6" t="s">
        <v>38</v>
      </c>
      <c r="I692" s="8"/>
      <c r="J692" s="9">
        <v>1</v>
      </c>
      <c r="K692" s="9">
        <v>432</v>
      </c>
      <c r="L692" s="9">
        <v>2022</v>
      </c>
      <c r="M692" s="8" t="s">
        <v>3878</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3879</v>
      </c>
      <c r="C693" s="7">
        <v>1200</v>
      </c>
      <c r="D693" s="8" t="s">
        <v>3880</v>
      </c>
      <c r="E693" s="8" t="s">
        <v>3881</v>
      </c>
      <c r="F693" s="8" t="s">
        <v>3882</v>
      </c>
      <c r="G693" s="6" t="s">
        <v>37</v>
      </c>
      <c r="H693" s="6" t="s">
        <v>38</v>
      </c>
      <c r="I693" s="8"/>
      <c r="J693" s="9">
        <v>1</v>
      </c>
      <c r="K693" s="9">
        <v>256</v>
      </c>
      <c r="L693" s="9">
        <v>2022</v>
      </c>
      <c r="M693" s="8" t="s">
        <v>3883</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3884</v>
      </c>
      <c r="C694" s="13">
        <v>988.8</v>
      </c>
      <c r="D694" s="8" t="s">
        <v>3885</v>
      </c>
      <c r="E694" s="8" t="s">
        <v>3886</v>
      </c>
      <c r="F694" s="8" t="s">
        <v>3887</v>
      </c>
      <c r="G694" s="6" t="s">
        <v>51</v>
      </c>
      <c r="H694" s="6" t="s">
        <v>38</v>
      </c>
      <c r="I694" s="8"/>
      <c r="J694" s="9">
        <v>1</v>
      </c>
      <c r="K694" s="9">
        <v>176</v>
      </c>
      <c r="L694" s="9">
        <v>2024</v>
      </c>
      <c r="M694" s="8" t="s">
        <v>3888</v>
      </c>
      <c r="N694" s="8" t="s">
        <v>40</v>
      </c>
      <c r="O694" s="8" t="s">
        <v>41</v>
      </c>
      <c r="P694" s="6" t="s">
        <v>42</v>
      </c>
      <c r="Q694" s="8" t="s">
        <v>43</v>
      </c>
      <c r="R694" s="10" t="s">
        <v>3889</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3890</v>
      </c>
      <c r="C695" s="13">
        <v>461.9</v>
      </c>
      <c r="D695" s="8" t="s">
        <v>3891</v>
      </c>
      <c r="E695" s="8" t="s">
        <v>3892</v>
      </c>
      <c r="F695" s="8" t="s">
        <v>3893</v>
      </c>
      <c r="G695" s="6" t="s">
        <v>51</v>
      </c>
      <c r="H695" s="6" t="s">
        <v>52</v>
      </c>
      <c r="I695" s="8" t="s">
        <v>2024</v>
      </c>
      <c r="J695" s="9">
        <v>1</v>
      </c>
      <c r="K695" s="9">
        <v>139</v>
      </c>
      <c r="L695" s="9">
        <v>2022</v>
      </c>
      <c r="M695" s="8" t="s">
        <v>3894</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3895</v>
      </c>
      <c r="C696" s="7">
        <v>1061.9000000000001</v>
      </c>
      <c r="D696" s="8" t="s">
        <v>3896</v>
      </c>
      <c r="E696" s="8" t="s">
        <v>3897</v>
      </c>
      <c r="F696" s="8" t="s">
        <v>190</v>
      </c>
      <c r="G696" s="6" t="s">
        <v>37</v>
      </c>
      <c r="H696" s="6" t="s">
        <v>84</v>
      </c>
      <c r="I696" s="8" t="s">
        <v>93</v>
      </c>
      <c r="J696" s="9">
        <v>1</v>
      </c>
      <c r="K696" s="9">
        <v>195</v>
      </c>
      <c r="L696" s="9">
        <v>2019</v>
      </c>
      <c r="M696" s="8" t="s">
        <v>3898</v>
      </c>
      <c r="N696" s="8" t="s">
        <v>40</v>
      </c>
      <c r="O696" s="8" t="s">
        <v>41</v>
      </c>
      <c r="P696" s="6" t="s">
        <v>75</v>
      </c>
      <c r="Q696" s="8" t="s">
        <v>96</v>
      </c>
      <c r="R696" s="10" t="s">
        <v>97</v>
      </c>
      <c r="S696" s="11" t="s">
        <v>3899</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3900</v>
      </c>
      <c r="C697" s="13">
        <v>539.9</v>
      </c>
      <c r="D697" s="8" t="s">
        <v>3901</v>
      </c>
      <c r="E697" s="8" t="s">
        <v>3902</v>
      </c>
      <c r="F697" s="8" t="s">
        <v>190</v>
      </c>
      <c r="G697" s="6" t="s">
        <v>58</v>
      </c>
      <c r="H697" s="6" t="s">
        <v>191</v>
      </c>
      <c r="I697" s="8" t="s">
        <v>2209</v>
      </c>
      <c r="J697" s="9">
        <v>1</v>
      </c>
      <c r="K697" s="9">
        <v>224</v>
      </c>
      <c r="L697" s="9">
        <v>2015</v>
      </c>
      <c r="M697" s="8" t="s">
        <v>3903</v>
      </c>
      <c r="N697" s="8" t="s">
        <v>40</v>
      </c>
      <c r="O697" s="8" t="s">
        <v>41</v>
      </c>
      <c r="P697" s="6" t="s">
        <v>75</v>
      </c>
      <c r="Q697" s="8" t="s">
        <v>96</v>
      </c>
      <c r="R697" s="10" t="s">
        <v>97</v>
      </c>
      <c r="S697" s="11" t="s">
        <v>3904</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3905</v>
      </c>
    </row>
    <row r="698" spans="1:27" s="4" customFormat="1" ht="42" customHeight="1">
      <c r="A698" s="5">
        <v>0</v>
      </c>
      <c r="B698" s="6" t="s">
        <v>3906</v>
      </c>
      <c r="C698" s="7">
        <v>3016.8</v>
      </c>
      <c r="D698" s="8" t="s">
        <v>3907</v>
      </c>
      <c r="E698" s="8" t="s">
        <v>3908</v>
      </c>
      <c r="F698" s="8" t="s">
        <v>1945</v>
      </c>
      <c r="G698" s="6" t="s">
        <v>37</v>
      </c>
      <c r="H698" s="6" t="s">
        <v>38</v>
      </c>
      <c r="I698" s="8"/>
      <c r="J698" s="9">
        <v>1</v>
      </c>
      <c r="K698" s="9">
        <v>536</v>
      </c>
      <c r="L698" s="9">
        <v>2024</v>
      </c>
      <c r="M698" s="8" t="s">
        <v>3909</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3910</v>
      </c>
      <c r="C699" s="7">
        <v>2160</v>
      </c>
      <c r="D699" s="8" t="s">
        <v>3911</v>
      </c>
      <c r="E699" s="8" t="s">
        <v>3912</v>
      </c>
      <c r="F699" s="8" t="s">
        <v>3913</v>
      </c>
      <c r="G699" s="6" t="s">
        <v>37</v>
      </c>
      <c r="H699" s="6" t="s">
        <v>38</v>
      </c>
      <c r="I699" s="8"/>
      <c r="J699" s="9">
        <v>1</v>
      </c>
      <c r="K699" s="9">
        <v>400</v>
      </c>
      <c r="L699" s="9">
        <v>2023</v>
      </c>
      <c r="M699" s="8" t="s">
        <v>3914</v>
      </c>
      <c r="N699" s="8" t="s">
        <v>40</v>
      </c>
      <c r="O699" s="8" t="s">
        <v>41</v>
      </c>
      <c r="P699" s="6" t="s">
        <v>42</v>
      </c>
      <c r="Q699" s="8" t="s">
        <v>43</v>
      </c>
      <c r="R699" s="10" t="s">
        <v>3628</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3915</v>
      </c>
      <c r="C700" s="13">
        <v>348</v>
      </c>
      <c r="D700" s="8" t="s">
        <v>3916</v>
      </c>
      <c r="E700" s="8" t="s">
        <v>3917</v>
      </c>
      <c r="F700" s="8" t="s">
        <v>829</v>
      </c>
      <c r="G700" s="6" t="s">
        <v>830</v>
      </c>
      <c r="H700" s="6" t="s">
        <v>84</v>
      </c>
      <c r="I700" s="8"/>
      <c r="J700" s="9">
        <v>1</v>
      </c>
      <c r="K700" s="9">
        <v>16</v>
      </c>
      <c r="L700" s="9">
        <v>2024</v>
      </c>
      <c r="M700" s="8" t="s">
        <v>3918</v>
      </c>
      <c r="N700" s="8" t="s">
        <v>40</v>
      </c>
      <c r="O700" s="8" t="s">
        <v>41</v>
      </c>
      <c r="P700" s="6" t="s">
        <v>2858</v>
      </c>
      <c r="Q700" s="8" t="s">
        <v>43</v>
      </c>
      <c r="R700" s="10" t="s">
        <v>3919</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42" customHeight="1">
      <c r="A701" s="5">
        <v>0</v>
      </c>
      <c r="B701" s="6" t="s">
        <v>3920</v>
      </c>
      <c r="C701" s="13">
        <v>300</v>
      </c>
      <c r="D701" s="8" t="s">
        <v>3921</v>
      </c>
      <c r="E701" s="8" t="s">
        <v>3922</v>
      </c>
      <c r="F701" s="8" t="s">
        <v>829</v>
      </c>
      <c r="G701" s="6" t="s">
        <v>51</v>
      </c>
      <c r="H701" s="6" t="s">
        <v>84</v>
      </c>
      <c r="I701" s="8" t="s">
        <v>831</v>
      </c>
      <c r="J701" s="9">
        <v>1</v>
      </c>
      <c r="K701" s="9">
        <v>48</v>
      </c>
      <c r="L701" s="9">
        <v>2023</v>
      </c>
      <c r="M701" s="8" t="s">
        <v>3923</v>
      </c>
      <c r="N701" s="8" t="s">
        <v>40</v>
      </c>
      <c r="O701" s="8" t="s">
        <v>41</v>
      </c>
      <c r="P701" s="6" t="s">
        <v>3924</v>
      </c>
      <c r="Q701" s="8" t="s">
        <v>43</v>
      </c>
      <c r="R701" s="10" t="s">
        <v>350</v>
      </c>
      <c r="S701" s="11"/>
      <c r="T701" s="6"/>
      <c r="U701" s="28" t="str">
        <f>HYPERLINK("https://media.infra-m.ru/2009/2009635/cover/2009635.jpg", "Обложка")</f>
        <v>Обложка</v>
      </c>
      <c r="V701" s="28" t="str">
        <f>HYPERLINK("https://znanium.ru/catalog/product/2009635", "Ознакомиться")</f>
        <v>Ознакомиться</v>
      </c>
      <c r="W701" s="8"/>
      <c r="X701" s="6"/>
      <c r="Y701" s="6"/>
      <c r="Z701" s="6"/>
      <c r="AA701" s="6" t="s">
        <v>417</v>
      </c>
    </row>
    <row r="702" spans="1:27" s="4" customFormat="1" ht="51.95" customHeight="1">
      <c r="A702" s="5">
        <v>0</v>
      </c>
      <c r="B702" s="6" t="s">
        <v>3925</v>
      </c>
      <c r="C702" s="13">
        <v>492</v>
      </c>
      <c r="D702" s="8" t="s">
        <v>3926</v>
      </c>
      <c r="E702" s="8" t="s">
        <v>3927</v>
      </c>
      <c r="F702" s="8" t="s">
        <v>829</v>
      </c>
      <c r="G702" s="6" t="s">
        <v>51</v>
      </c>
      <c r="H702" s="6" t="s">
        <v>84</v>
      </c>
      <c r="I702" s="8" t="s">
        <v>831</v>
      </c>
      <c r="J702" s="9">
        <v>1</v>
      </c>
      <c r="K702" s="9">
        <v>61</v>
      </c>
      <c r="L702" s="9">
        <v>2024</v>
      </c>
      <c r="M702" s="8" t="s">
        <v>3928</v>
      </c>
      <c r="N702" s="8" t="s">
        <v>40</v>
      </c>
      <c r="O702" s="8" t="s">
        <v>41</v>
      </c>
      <c r="P702" s="6" t="s">
        <v>3929</v>
      </c>
      <c r="Q702" s="8" t="s">
        <v>43</v>
      </c>
      <c r="R702" s="10" t="s">
        <v>3930</v>
      </c>
      <c r="S702" s="11"/>
      <c r="T702" s="6"/>
      <c r="U702" s="28" t="str">
        <f>HYPERLINK("https://media.infra-m.ru/2102/2102672/cover/2102672.jpg", "Обложка")</f>
        <v>Обложка</v>
      </c>
      <c r="V702" s="28" t="str">
        <f>HYPERLINK("https://znanium.ru/catalog/product/2133696", "Ознакомиться")</f>
        <v>Ознакомиться</v>
      </c>
      <c r="W702" s="8"/>
      <c r="X702" s="6"/>
      <c r="Y702" s="6"/>
      <c r="Z702" s="6"/>
      <c r="AA702" s="6" t="s">
        <v>353</v>
      </c>
    </row>
    <row r="703" spans="1:27" s="4" customFormat="1" ht="51.95" customHeight="1">
      <c r="A703" s="5">
        <v>0</v>
      </c>
      <c r="B703" s="6" t="s">
        <v>3931</v>
      </c>
      <c r="C703" s="13">
        <v>588</v>
      </c>
      <c r="D703" s="8" t="s">
        <v>3932</v>
      </c>
      <c r="E703" s="8" t="s">
        <v>3933</v>
      </c>
      <c r="F703" s="8" t="s">
        <v>829</v>
      </c>
      <c r="G703" s="6" t="s">
        <v>51</v>
      </c>
      <c r="H703" s="6" t="s">
        <v>84</v>
      </c>
      <c r="I703" s="8"/>
      <c r="J703" s="9">
        <v>1</v>
      </c>
      <c r="K703" s="9">
        <v>62</v>
      </c>
      <c r="L703" s="9">
        <v>2024</v>
      </c>
      <c r="M703" s="8" t="s">
        <v>3934</v>
      </c>
      <c r="N703" s="8" t="s">
        <v>40</v>
      </c>
      <c r="O703" s="8" t="s">
        <v>41</v>
      </c>
      <c r="P703" s="6" t="s">
        <v>3929</v>
      </c>
      <c r="Q703" s="8" t="s">
        <v>43</v>
      </c>
      <c r="R703" s="10" t="s">
        <v>3930</v>
      </c>
      <c r="S703" s="11"/>
      <c r="T703" s="6"/>
      <c r="U703" s="28" t="str">
        <f>HYPERLINK("https://media.infra-m.ru/2133/2133696/cover/2133696.jpg", "Обложка")</f>
        <v>Обложка</v>
      </c>
      <c r="V703" s="28" t="str">
        <f>HYPERLINK("https://znanium.ru/catalog/product/2133696", "Ознакомиться")</f>
        <v>Ознакомиться</v>
      </c>
      <c r="W703" s="8"/>
      <c r="X703" s="6" t="s">
        <v>1412</v>
      </c>
      <c r="Y703" s="6"/>
      <c r="Z703" s="6"/>
      <c r="AA703" s="6" t="s">
        <v>392</v>
      </c>
    </row>
    <row r="704" spans="1:27" s="4" customFormat="1" ht="42" customHeight="1">
      <c r="A704" s="5">
        <v>0</v>
      </c>
      <c r="B704" s="6" t="s">
        <v>3935</v>
      </c>
      <c r="C704" s="7">
        <v>1068</v>
      </c>
      <c r="D704" s="8" t="s">
        <v>3936</v>
      </c>
      <c r="E704" s="8" t="s">
        <v>3937</v>
      </c>
      <c r="F704" s="8" t="s">
        <v>3938</v>
      </c>
      <c r="G704" s="6" t="s">
        <v>51</v>
      </c>
      <c r="H704" s="6" t="s">
        <v>84</v>
      </c>
      <c r="I704" s="8" t="s">
        <v>1560</v>
      </c>
      <c r="J704" s="9">
        <v>1</v>
      </c>
      <c r="K704" s="9">
        <v>183</v>
      </c>
      <c r="L704" s="9">
        <v>2024</v>
      </c>
      <c r="M704" s="8" t="s">
        <v>3939</v>
      </c>
      <c r="N704" s="8" t="s">
        <v>40</v>
      </c>
      <c r="O704" s="8" t="s">
        <v>41</v>
      </c>
      <c r="P704" s="6" t="s">
        <v>42</v>
      </c>
      <c r="Q704" s="8" t="s">
        <v>43</v>
      </c>
      <c r="R704" s="10" t="s">
        <v>308</v>
      </c>
      <c r="S704" s="11"/>
      <c r="T704" s="6"/>
      <c r="U704" s="28" t="str">
        <f>HYPERLINK("https://media.infra-m.ru/2053/2053982/cover/2053982.jpg", "Обложка")</f>
        <v>Обложка</v>
      </c>
      <c r="V704" s="28" t="str">
        <f>HYPERLINK("https://znanium.ru/catalog/product/2053982", "Ознакомиться")</f>
        <v>Ознакомиться</v>
      </c>
      <c r="W704" s="8" t="s">
        <v>1399</v>
      </c>
      <c r="X704" s="6"/>
      <c r="Y704" s="6"/>
      <c r="Z704" s="6"/>
      <c r="AA704" s="6" t="s">
        <v>1310</v>
      </c>
    </row>
    <row r="705" spans="1:27" s="4" customFormat="1" ht="51.95" customHeight="1">
      <c r="A705" s="5">
        <v>0</v>
      </c>
      <c r="B705" s="6" t="s">
        <v>3940</v>
      </c>
      <c r="C705" s="13">
        <v>773.9</v>
      </c>
      <c r="D705" s="8" t="s">
        <v>3941</v>
      </c>
      <c r="E705" s="8" t="s">
        <v>3942</v>
      </c>
      <c r="F705" s="8" t="s">
        <v>829</v>
      </c>
      <c r="G705" s="6" t="s">
        <v>51</v>
      </c>
      <c r="H705" s="6" t="s">
        <v>84</v>
      </c>
      <c r="I705" s="8" t="s">
        <v>831</v>
      </c>
      <c r="J705" s="9">
        <v>1</v>
      </c>
      <c r="K705" s="9">
        <v>142</v>
      </c>
      <c r="L705" s="9">
        <v>2023</v>
      </c>
      <c r="M705" s="8" t="s">
        <v>3943</v>
      </c>
      <c r="N705" s="8" t="s">
        <v>40</v>
      </c>
      <c r="O705" s="8" t="s">
        <v>41</v>
      </c>
      <c r="P705" s="6" t="s">
        <v>833</v>
      </c>
      <c r="Q705" s="8" t="s">
        <v>43</v>
      </c>
      <c r="R705" s="10" t="s">
        <v>1648</v>
      </c>
      <c r="S705" s="11"/>
      <c r="T705" s="6"/>
      <c r="U705" s="28" t="str">
        <f>HYPERLINK("https://media.infra-m.ru/2117/2117568/cover/2117568.jpg", "Обложка")</f>
        <v>Обложка</v>
      </c>
      <c r="V705" s="28" t="str">
        <f>HYPERLINK("https://znanium.ru/catalog/product/1921393", "Ознакомиться")</f>
        <v>Ознакомиться</v>
      </c>
      <c r="W705" s="8"/>
      <c r="X705" s="6"/>
      <c r="Y705" s="6"/>
      <c r="Z705" s="6"/>
      <c r="AA705" s="6" t="s">
        <v>62</v>
      </c>
    </row>
    <row r="706" spans="1:27" s="4" customFormat="1" ht="44.1" customHeight="1">
      <c r="A706" s="5">
        <v>0</v>
      </c>
      <c r="B706" s="6" t="s">
        <v>3944</v>
      </c>
      <c r="C706" s="13">
        <v>653.9</v>
      </c>
      <c r="D706" s="8" t="s">
        <v>3945</v>
      </c>
      <c r="E706" s="8" t="s">
        <v>3946</v>
      </c>
      <c r="F706" s="8" t="s">
        <v>3573</v>
      </c>
      <c r="G706" s="6" t="s">
        <v>58</v>
      </c>
      <c r="H706" s="6" t="s">
        <v>38</v>
      </c>
      <c r="I706" s="8"/>
      <c r="J706" s="9">
        <v>24</v>
      </c>
      <c r="K706" s="9">
        <v>160</v>
      </c>
      <c r="L706" s="9">
        <v>2019</v>
      </c>
      <c r="M706" s="8" t="s">
        <v>3947</v>
      </c>
      <c r="N706" s="8" t="s">
        <v>40</v>
      </c>
      <c r="O706" s="8" t="s">
        <v>41</v>
      </c>
      <c r="P706" s="6" t="s">
        <v>42</v>
      </c>
      <c r="Q706" s="8" t="s">
        <v>43</v>
      </c>
      <c r="R706" s="10" t="s">
        <v>3628</v>
      </c>
      <c r="S706" s="11"/>
      <c r="T706" s="6"/>
      <c r="U706" s="28" t="str">
        <f>HYPERLINK("https://media.infra-m.ru/0995/0995438/cover/995438.jpg", "Обложка")</f>
        <v>Обложка</v>
      </c>
      <c r="V706" s="28" t="str">
        <f>HYPERLINK("https://znanium.ru/catalog/product/995438", "Ознакомиться")</f>
        <v>Ознакомиться</v>
      </c>
      <c r="W706" s="8" t="s">
        <v>78</v>
      </c>
      <c r="X706" s="6"/>
      <c r="Y706" s="6"/>
      <c r="Z706" s="6"/>
      <c r="AA706" s="6" t="s">
        <v>88</v>
      </c>
    </row>
    <row r="707" spans="1:27" s="4" customFormat="1" ht="42" customHeight="1">
      <c r="A707" s="5">
        <v>0</v>
      </c>
      <c r="B707" s="6" t="s">
        <v>3948</v>
      </c>
      <c r="C707" s="13">
        <v>408</v>
      </c>
      <c r="D707" s="8" t="s">
        <v>3949</v>
      </c>
      <c r="E707" s="8" t="s">
        <v>3950</v>
      </c>
      <c r="F707" s="8" t="s">
        <v>829</v>
      </c>
      <c r="G707" s="6" t="s">
        <v>51</v>
      </c>
      <c r="H707" s="6" t="s">
        <v>84</v>
      </c>
      <c r="I707" s="8" t="s">
        <v>831</v>
      </c>
      <c r="J707" s="9">
        <v>1</v>
      </c>
      <c r="K707" s="9">
        <v>115</v>
      </c>
      <c r="L707" s="9">
        <v>2022</v>
      </c>
      <c r="M707" s="8" t="s">
        <v>3951</v>
      </c>
      <c r="N707" s="8" t="s">
        <v>40</v>
      </c>
      <c r="O707" s="8" t="s">
        <v>41</v>
      </c>
      <c r="P707" s="6" t="s">
        <v>3924</v>
      </c>
      <c r="Q707" s="8" t="s">
        <v>43</v>
      </c>
      <c r="R707" s="10" t="s">
        <v>3952</v>
      </c>
      <c r="S707" s="11"/>
      <c r="T707" s="6"/>
      <c r="U707" s="28" t="str">
        <f>HYPERLINK("https://media.infra-m.ru/1898/1898210/cover/1898210.jpg", "Обложка")</f>
        <v>Обложка</v>
      </c>
      <c r="V707" s="28" t="str">
        <f>HYPERLINK("https://znanium.ru/catalog/product/1898210", "Ознакомиться")</f>
        <v>Ознакомиться</v>
      </c>
      <c r="W707" s="8"/>
      <c r="X707" s="6"/>
      <c r="Y707" s="6"/>
      <c r="Z707" s="6"/>
      <c r="AA707" s="6" t="s">
        <v>353</v>
      </c>
    </row>
    <row r="708" spans="1:27" s="4" customFormat="1" ht="42" customHeight="1">
      <c r="A708" s="5">
        <v>0</v>
      </c>
      <c r="B708" s="6" t="s">
        <v>3953</v>
      </c>
      <c r="C708" s="13">
        <v>360</v>
      </c>
      <c r="D708" s="8" t="s">
        <v>3954</v>
      </c>
      <c r="E708" s="8" t="s">
        <v>3955</v>
      </c>
      <c r="F708" s="8" t="s">
        <v>829</v>
      </c>
      <c r="G708" s="6" t="s">
        <v>830</v>
      </c>
      <c r="H708" s="6" t="s">
        <v>84</v>
      </c>
      <c r="I708" s="8"/>
      <c r="J708" s="9">
        <v>1</v>
      </c>
      <c r="K708" s="9">
        <v>60</v>
      </c>
      <c r="L708" s="9">
        <v>2022</v>
      </c>
      <c r="M708" s="8" t="s">
        <v>3956</v>
      </c>
      <c r="N708" s="8" t="s">
        <v>40</v>
      </c>
      <c r="O708" s="8" t="s">
        <v>41</v>
      </c>
      <c r="P708" s="6" t="s">
        <v>833</v>
      </c>
      <c r="Q708" s="8" t="s">
        <v>43</v>
      </c>
      <c r="R708" s="10" t="s">
        <v>3957</v>
      </c>
      <c r="S708" s="11"/>
      <c r="T708" s="6"/>
      <c r="U708" s="28" t="str">
        <f>HYPERLINK("https://media.infra-m.ru/1850/1850144/cover/1850144.jpg", "Обложка")</f>
        <v>Обложка</v>
      </c>
      <c r="V708" s="12"/>
      <c r="W708" s="8"/>
      <c r="X708" s="6"/>
      <c r="Y708" s="6"/>
      <c r="Z708" s="6"/>
      <c r="AA708" s="6" t="s">
        <v>115</v>
      </c>
    </row>
    <row r="709" spans="1:27" s="4" customFormat="1" ht="42" customHeight="1">
      <c r="A709" s="5">
        <v>0</v>
      </c>
      <c r="B709" s="6" t="s">
        <v>3958</v>
      </c>
      <c r="C709" s="13">
        <v>276</v>
      </c>
      <c r="D709" s="8" t="s">
        <v>3959</v>
      </c>
      <c r="E709" s="8" t="s">
        <v>3960</v>
      </c>
      <c r="F709" s="8" t="s">
        <v>829</v>
      </c>
      <c r="G709" s="6" t="s">
        <v>830</v>
      </c>
      <c r="H709" s="6" t="s">
        <v>84</v>
      </c>
      <c r="I709" s="8"/>
      <c r="J709" s="9">
        <v>1</v>
      </c>
      <c r="K709" s="9">
        <v>40</v>
      </c>
      <c r="L709" s="9">
        <v>2022</v>
      </c>
      <c r="M709" s="8" t="s">
        <v>3961</v>
      </c>
      <c r="N709" s="8" t="s">
        <v>40</v>
      </c>
      <c r="O709" s="8" t="s">
        <v>41</v>
      </c>
      <c r="P709" s="6" t="s">
        <v>833</v>
      </c>
      <c r="Q709" s="8" t="s">
        <v>43</v>
      </c>
      <c r="R709" s="10" t="s">
        <v>3957</v>
      </c>
      <c r="S709" s="11"/>
      <c r="T709" s="6"/>
      <c r="U709" s="28" t="str">
        <f>HYPERLINK("https://media.infra-m.ru/1850/1850145/cover/1850145.jpg", "Обложка")</f>
        <v>Обложка</v>
      </c>
      <c r="V709" s="12"/>
      <c r="W709" s="8"/>
      <c r="X709" s="6"/>
      <c r="Y709" s="6"/>
      <c r="Z709" s="6"/>
      <c r="AA709" s="6" t="s">
        <v>115</v>
      </c>
    </row>
    <row r="710" spans="1:27" s="4" customFormat="1" ht="51.95" customHeight="1">
      <c r="A710" s="5">
        <v>0</v>
      </c>
      <c r="B710" s="6" t="s">
        <v>3962</v>
      </c>
      <c r="C710" s="13">
        <v>156</v>
      </c>
      <c r="D710" s="8" t="s">
        <v>3963</v>
      </c>
      <c r="E710" s="8" t="s">
        <v>3964</v>
      </c>
      <c r="F710" s="8" t="s">
        <v>829</v>
      </c>
      <c r="G710" s="6" t="s">
        <v>830</v>
      </c>
      <c r="H710" s="6" t="s">
        <v>84</v>
      </c>
      <c r="I710" s="8"/>
      <c r="J710" s="9">
        <v>1</v>
      </c>
      <c r="K710" s="9">
        <v>16</v>
      </c>
      <c r="L710" s="9">
        <v>2021</v>
      </c>
      <c r="M710" s="8" t="s">
        <v>3965</v>
      </c>
      <c r="N710" s="8" t="s">
        <v>40</v>
      </c>
      <c r="O710" s="8" t="s">
        <v>41</v>
      </c>
      <c r="P710" s="6" t="s">
        <v>833</v>
      </c>
      <c r="Q710" s="8" t="s">
        <v>43</v>
      </c>
      <c r="R710" s="10" t="s">
        <v>3966</v>
      </c>
      <c r="S710" s="11"/>
      <c r="T710" s="6"/>
      <c r="U710" s="28" t="str">
        <f>HYPERLINK("https://media.infra-m.ru/1245/1245961/cover/1245961.jpg", "Обложка")</f>
        <v>Обложка</v>
      </c>
      <c r="V710" s="28" t="str">
        <f>HYPERLINK("https://znanium.ru/catalog/product/1245961", "Ознакомиться")</f>
        <v>Ознакомиться</v>
      </c>
      <c r="W710" s="8"/>
      <c r="X710" s="6"/>
      <c r="Y710" s="6"/>
      <c r="Z710" s="6"/>
      <c r="AA710" s="6" t="s">
        <v>62</v>
      </c>
    </row>
    <row r="711" spans="1:27" s="4" customFormat="1" ht="51.95" customHeight="1">
      <c r="A711" s="5">
        <v>0</v>
      </c>
      <c r="B711" s="6" t="s">
        <v>3967</v>
      </c>
      <c r="C711" s="13">
        <v>300</v>
      </c>
      <c r="D711" s="8" t="s">
        <v>3968</v>
      </c>
      <c r="E711" s="8" t="s">
        <v>3969</v>
      </c>
      <c r="F711" s="8" t="s">
        <v>829</v>
      </c>
      <c r="G711" s="6" t="s">
        <v>51</v>
      </c>
      <c r="H711" s="6" t="s">
        <v>84</v>
      </c>
      <c r="I711" s="8" t="s">
        <v>831</v>
      </c>
      <c r="J711" s="9">
        <v>1</v>
      </c>
      <c r="K711" s="9">
        <v>48</v>
      </c>
      <c r="L711" s="9">
        <v>2021</v>
      </c>
      <c r="M711" s="8" t="s">
        <v>3970</v>
      </c>
      <c r="N711" s="8" t="s">
        <v>40</v>
      </c>
      <c r="O711" s="8" t="s">
        <v>41</v>
      </c>
      <c r="P711" s="6" t="s">
        <v>833</v>
      </c>
      <c r="Q711" s="8" t="s">
        <v>43</v>
      </c>
      <c r="R711" s="10" t="s">
        <v>3971</v>
      </c>
      <c r="S711" s="11"/>
      <c r="T711" s="6"/>
      <c r="U711" s="28" t="str">
        <f>HYPERLINK("https://media.infra-m.ru/1817/1817300/cover/1817300.jpg", "Обложка")</f>
        <v>Обложка</v>
      </c>
      <c r="V711" s="28" t="str">
        <f>HYPERLINK("https://znanium.ru/catalog/product/1817300", "Ознакомиться")</f>
        <v>Ознакомиться</v>
      </c>
      <c r="W711" s="8"/>
      <c r="X711" s="6"/>
      <c r="Y711" s="6"/>
      <c r="Z711" s="6"/>
      <c r="AA711" s="6" t="s">
        <v>62</v>
      </c>
    </row>
    <row r="712" spans="1:27" s="4" customFormat="1" ht="51.95" customHeight="1">
      <c r="A712" s="5">
        <v>0</v>
      </c>
      <c r="B712" s="6" t="s">
        <v>3972</v>
      </c>
      <c r="C712" s="13">
        <v>950.3</v>
      </c>
      <c r="D712" s="8" t="s">
        <v>3973</v>
      </c>
      <c r="E712" s="8" t="s">
        <v>3974</v>
      </c>
      <c r="F712" s="8" t="s">
        <v>3975</v>
      </c>
      <c r="G712" s="6" t="s">
        <v>58</v>
      </c>
      <c r="H712" s="6" t="s">
        <v>38</v>
      </c>
      <c r="I712" s="8"/>
      <c r="J712" s="9">
        <v>1</v>
      </c>
      <c r="K712" s="9">
        <v>320</v>
      </c>
      <c r="L712" s="9">
        <v>2018</v>
      </c>
      <c r="M712" s="8" t="s">
        <v>3976</v>
      </c>
      <c r="N712" s="8" t="s">
        <v>40</v>
      </c>
      <c r="O712" s="8" t="s">
        <v>41</v>
      </c>
      <c r="P712" s="6" t="s">
        <v>2858</v>
      </c>
      <c r="Q712" s="8" t="s">
        <v>43</v>
      </c>
      <c r="R712" s="10" t="s">
        <v>3977</v>
      </c>
      <c r="S712" s="11"/>
      <c r="T712" s="6"/>
      <c r="U712" s="28" t="str">
        <f>HYPERLINK("https://media.infra-m.ru/0966/0966502/cover/966502.jpg", "Обложка")</f>
        <v>Обложка</v>
      </c>
      <c r="V712" s="28" t="str">
        <f>HYPERLINK("https://znanium.ru/catalog/product/913880", "Ознакомиться")</f>
        <v>Ознакомиться</v>
      </c>
      <c r="W712" s="8" t="s">
        <v>3978</v>
      </c>
      <c r="X712" s="6"/>
      <c r="Y712" s="6"/>
      <c r="Z712" s="6"/>
      <c r="AA712" s="6" t="s">
        <v>302</v>
      </c>
    </row>
    <row r="713" spans="1:27" s="4" customFormat="1" ht="51.95" customHeight="1">
      <c r="A713" s="5">
        <v>0</v>
      </c>
      <c r="B713" s="6" t="s">
        <v>3979</v>
      </c>
      <c r="C713" s="7">
        <v>1877.9</v>
      </c>
      <c r="D713" s="8" t="s">
        <v>3980</v>
      </c>
      <c r="E713" s="8" t="s">
        <v>3981</v>
      </c>
      <c r="F713" s="8" t="s">
        <v>3982</v>
      </c>
      <c r="G713" s="6" t="s">
        <v>37</v>
      </c>
      <c r="H713" s="6" t="s">
        <v>84</v>
      </c>
      <c r="I713" s="8" t="s">
        <v>184</v>
      </c>
      <c r="J713" s="9">
        <v>1</v>
      </c>
      <c r="K713" s="9">
        <v>339</v>
      </c>
      <c r="L713" s="9">
        <v>2023</v>
      </c>
      <c r="M713" s="8" t="s">
        <v>3983</v>
      </c>
      <c r="N713" s="8" t="s">
        <v>40</v>
      </c>
      <c r="O713" s="8" t="s">
        <v>41</v>
      </c>
      <c r="P713" s="6" t="s">
        <v>95</v>
      </c>
      <c r="Q713" s="8" t="s">
        <v>76</v>
      </c>
      <c r="R713" s="10" t="s">
        <v>1936</v>
      </c>
      <c r="S713" s="11" t="s">
        <v>3984</v>
      </c>
      <c r="T713" s="6"/>
      <c r="U713" s="28" t="str">
        <f>HYPERLINK("https://media.infra-m.ru/2115/2115290/cover/2115290.jpg", "Обложка")</f>
        <v>Обложка</v>
      </c>
      <c r="V713" s="28" t="str">
        <f>HYPERLINK("https://znanium.ru/catalog/product/2115289", "Ознакомиться")</f>
        <v>Ознакомиться</v>
      </c>
      <c r="W713" s="8" t="s">
        <v>3985</v>
      </c>
      <c r="X713" s="6"/>
      <c r="Y713" s="6"/>
      <c r="Z713" s="6"/>
      <c r="AA713" s="6" t="s">
        <v>353</v>
      </c>
    </row>
    <row r="714" spans="1:27" s="4" customFormat="1" ht="51.95" customHeight="1">
      <c r="A714" s="5">
        <v>0</v>
      </c>
      <c r="B714" s="6" t="s">
        <v>3986</v>
      </c>
      <c r="C714" s="13">
        <v>504</v>
      </c>
      <c r="D714" s="8" t="s">
        <v>3987</v>
      </c>
      <c r="E714" s="8" t="s">
        <v>3988</v>
      </c>
      <c r="F714" s="8" t="s">
        <v>3989</v>
      </c>
      <c r="G714" s="6" t="s">
        <v>51</v>
      </c>
      <c r="H714" s="6" t="s">
        <v>84</v>
      </c>
      <c r="I714" s="8" t="s">
        <v>250</v>
      </c>
      <c r="J714" s="9">
        <v>1</v>
      </c>
      <c r="K714" s="9">
        <v>85</v>
      </c>
      <c r="L714" s="9">
        <v>2023</v>
      </c>
      <c r="M714" s="8" t="s">
        <v>3990</v>
      </c>
      <c r="N714" s="8" t="s">
        <v>40</v>
      </c>
      <c r="O714" s="8" t="s">
        <v>41</v>
      </c>
      <c r="P714" s="6" t="s">
        <v>42</v>
      </c>
      <c r="Q714" s="8" t="s">
        <v>515</v>
      </c>
      <c r="R714" s="10" t="s">
        <v>60</v>
      </c>
      <c r="S714" s="11"/>
      <c r="T714" s="6"/>
      <c r="U714" s="28" t="str">
        <f>HYPERLINK("https://media.infra-m.ru/2040/2040900/cover/2040900.jpg", "Обложка")</f>
        <v>Обложка</v>
      </c>
      <c r="V714" s="28" t="str">
        <f>HYPERLINK("https://znanium.ru/catalog/product/2040900", "Ознакомиться")</f>
        <v>Ознакомиться</v>
      </c>
      <c r="W714" s="8" t="s">
        <v>3991</v>
      </c>
      <c r="X714" s="6"/>
      <c r="Y714" s="6"/>
      <c r="Z714" s="6"/>
      <c r="AA714" s="6" t="s">
        <v>148</v>
      </c>
    </row>
    <row r="715" spans="1:27" s="4" customFormat="1" ht="51.95" customHeight="1">
      <c r="A715" s="5">
        <v>0</v>
      </c>
      <c r="B715" s="6" t="s">
        <v>3992</v>
      </c>
      <c r="C715" s="7">
        <v>2220</v>
      </c>
      <c r="D715" s="8" t="s">
        <v>3993</v>
      </c>
      <c r="E715" s="8" t="s">
        <v>3994</v>
      </c>
      <c r="F715" s="8" t="s">
        <v>2195</v>
      </c>
      <c r="G715" s="6" t="s">
        <v>37</v>
      </c>
      <c r="H715" s="6" t="s">
        <v>84</v>
      </c>
      <c r="I715" s="8" t="s">
        <v>1173</v>
      </c>
      <c r="J715" s="9">
        <v>1</v>
      </c>
      <c r="K715" s="9">
        <v>395</v>
      </c>
      <c r="L715" s="9">
        <v>2024</v>
      </c>
      <c r="M715" s="8" t="s">
        <v>3995</v>
      </c>
      <c r="N715" s="8" t="s">
        <v>40</v>
      </c>
      <c r="O715" s="8" t="s">
        <v>41</v>
      </c>
      <c r="P715" s="6" t="s">
        <v>95</v>
      </c>
      <c r="Q715" s="8" t="s">
        <v>1231</v>
      </c>
      <c r="R715" s="10" t="s">
        <v>322</v>
      </c>
      <c r="S715" s="11" t="s">
        <v>3996</v>
      </c>
      <c r="T715" s="6" t="s">
        <v>378</v>
      </c>
      <c r="U715" s="28" t="str">
        <f>HYPERLINK("https://media.infra-m.ru/2106/2106652/cover/2106652.jpg", "Обложка")</f>
        <v>Обложка</v>
      </c>
      <c r="V715" s="28" t="str">
        <f>HYPERLINK("https://znanium.ru/catalog/product/2106652", "Ознакомиться")</f>
        <v>Ознакомиться</v>
      </c>
      <c r="W715" s="8" t="s">
        <v>194</v>
      </c>
      <c r="X715" s="6"/>
      <c r="Y715" s="6"/>
      <c r="Z715" s="6"/>
      <c r="AA715" s="6" t="s">
        <v>46</v>
      </c>
    </row>
    <row r="716" spans="1:27" s="4" customFormat="1" ht="51.95" customHeight="1">
      <c r="A716" s="5">
        <v>0</v>
      </c>
      <c r="B716" s="6" t="s">
        <v>3997</v>
      </c>
      <c r="C716" s="7">
        <v>1152</v>
      </c>
      <c r="D716" s="8" t="s">
        <v>3998</v>
      </c>
      <c r="E716" s="8" t="s">
        <v>3999</v>
      </c>
      <c r="F716" s="8" t="s">
        <v>4000</v>
      </c>
      <c r="G716" s="6" t="s">
        <v>37</v>
      </c>
      <c r="H716" s="6" t="s">
        <v>38</v>
      </c>
      <c r="I716" s="8"/>
      <c r="J716" s="9">
        <v>1</v>
      </c>
      <c r="K716" s="9">
        <v>208</v>
      </c>
      <c r="L716" s="9">
        <v>2019</v>
      </c>
      <c r="M716" s="8" t="s">
        <v>4001</v>
      </c>
      <c r="N716" s="8" t="s">
        <v>40</v>
      </c>
      <c r="O716" s="8" t="s">
        <v>41</v>
      </c>
      <c r="P716" s="6" t="s">
        <v>75</v>
      </c>
      <c r="Q716" s="8" t="s">
        <v>76</v>
      </c>
      <c r="R716" s="10" t="s">
        <v>4002</v>
      </c>
      <c r="S716" s="11"/>
      <c r="T716" s="6"/>
      <c r="U716" s="28" t="str">
        <f>HYPERLINK("https://media.infra-m.ru/0989/0989182/cover/989182.jpg", "Обложка")</f>
        <v>Обложка</v>
      </c>
      <c r="V716" s="28" t="str">
        <f>HYPERLINK("https://znanium.ru/catalog/product/989182", "Ознакомиться")</f>
        <v>Ознакомиться</v>
      </c>
      <c r="W716" s="8" t="s">
        <v>114</v>
      </c>
      <c r="X716" s="6"/>
      <c r="Y716" s="6"/>
      <c r="Z716" s="6"/>
      <c r="AA716" s="6" t="s">
        <v>148</v>
      </c>
    </row>
    <row r="717" spans="1:27" s="4" customFormat="1" ht="51.95" customHeight="1">
      <c r="A717" s="5">
        <v>0</v>
      </c>
      <c r="B717" s="6" t="s">
        <v>4003</v>
      </c>
      <c r="C717" s="13">
        <v>988.8</v>
      </c>
      <c r="D717" s="8" t="s">
        <v>4004</v>
      </c>
      <c r="E717" s="8" t="s">
        <v>4005</v>
      </c>
      <c r="F717" s="8" t="s">
        <v>2051</v>
      </c>
      <c r="G717" s="6" t="s">
        <v>37</v>
      </c>
      <c r="H717" s="6" t="s">
        <v>84</v>
      </c>
      <c r="I717" s="8" t="s">
        <v>184</v>
      </c>
      <c r="J717" s="9">
        <v>1</v>
      </c>
      <c r="K717" s="9">
        <v>180</v>
      </c>
      <c r="L717" s="9">
        <v>2024</v>
      </c>
      <c r="M717" s="8" t="s">
        <v>4006</v>
      </c>
      <c r="N717" s="8" t="s">
        <v>40</v>
      </c>
      <c r="O717" s="8" t="s">
        <v>41</v>
      </c>
      <c r="P717" s="6" t="s">
        <v>95</v>
      </c>
      <c r="Q717" s="8" t="s">
        <v>76</v>
      </c>
      <c r="R717" s="10" t="s">
        <v>4007</v>
      </c>
      <c r="S717" s="11" t="s">
        <v>4008</v>
      </c>
      <c r="T717" s="6"/>
      <c r="U717" s="28" t="str">
        <f>HYPERLINK("https://media.infra-m.ru/2112/2112519/cover/2112519.jpg", "Обложка")</f>
        <v>Обложка</v>
      </c>
      <c r="V717" s="28" t="str">
        <f>HYPERLINK("https://znanium.ru/catalog/product/1217333", "Ознакомиться")</f>
        <v>Ознакомиться</v>
      </c>
      <c r="W717" s="8" t="s">
        <v>45</v>
      </c>
      <c r="X717" s="6"/>
      <c r="Y717" s="6"/>
      <c r="Z717" s="6"/>
      <c r="AA717" s="6" t="s">
        <v>148</v>
      </c>
    </row>
    <row r="718" spans="1:27" s="4" customFormat="1" ht="44.1" customHeight="1">
      <c r="A718" s="5">
        <v>0</v>
      </c>
      <c r="B718" s="6" t="s">
        <v>4009</v>
      </c>
      <c r="C718" s="7">
        <v>2740.8</v>
      </c>
      <c r="D718" s="8" t="s">
        <v>4010</v>
      </c>
      <c r="E718" s="8" t="s">
        <v>4011</v>
      </c>
      <c r="F718" s="8" t="s">
        <v>4012</v>
      </c>
      <c r="G718" s="6" t="s">
        <v>58</v>
      </c>
      <c r="H718" s="6" t="s">
        <v>38</v>
      </c>
      <c r="I718" s="8"/>
      <c r="J718" s="9">
        <v>1</v>
      </c>
      <c r="K718" s="9">
        <v>496</v>
      </c>
      <c r="L718" s="9">
        <v>2024</v>
      </c>
      <c r="M718" s="8" t="s">
        <v>4013</v>
      </c>
      <c r="N718" s="8" t="s">
        <v>40</v>
      </c>
      <c r="O718" s="8" t="s">
        <v>41</v>
      </c>
      <c r="P718" s="6" t="s">
        <v>95</v>
      </c>
      <c r="Q718" s="8" t="s">
        <v>76</v>
      </c>
      <c r="R718" s="10" t="s">
        <v>1293</v>
      </c>
      <c r="S718" s="11"/>
      <c r="T718" s="6"/>
      <c r="U718" s="28" t="str">
        <f>HYPERLINK("https://media.infra-m.ru/2123/2123350/cover/2123350.jpg", "Обложка")</f>
        <v>Обложка</v>
      </c>
      <c r="V718" s="28" t="str">
        <f>HYPERLINK("https://znanium.ru/catalog/product/1215746", "Ознакомиться")</f>
        <v>Ознакомиться</v>
      </c>
      <c r="W718" s="8" t="s">
        <v>114</v>
      </c>
      <c r="X718" s="6"/>
      <c r="Y718" s="6"/>
      <c r="Z718" s="6"/>
      <c r="AA718" s="6" t="s">
        <v>62</v>
      </c>
    </row>
    <row r="719" spans="1:27" s="4" customFormat="1" ht="42" customHeight="1">
      <c r="A719" s="5">
        <v>0</v>
      </c>
      <c r="B719" s="6" t="s">
        <v>4014</v>
      </c>
      <c r="C719" s="13">
        <v>828</v>
      </c>
      <c r="D719" s="8" t="s">
        <v>4015</v>
      </c>
      <c r="E719" s="8" t="s">
        <v>4016</v>
      </c>
      <c r="F719" s="8" t="s">
        <v>1594</v>
      </c>
      <c r="G719" s="6" t="s">
        <v>37</v>
      </c>
      <c r="H719" s="6" t="s">
        <v>38</v>
      </c>
      <c r="I719" s="8"/>
      <c r="J719" s="9">
        <v>1</v>
      </c>
      <c r="K719" s="9">
        <v>136</v>
      </c>
      <c r="L719" s="9">
        <v>2023</v>
      </c>
      <c r="M719" s="8" t="s">
        <v>4017</v>
      </c>
      <c r="N719" s="8" t="s">
        <v>40</v>
      </c>
      <c r="O719" s="8" t="s">
        <v>41</v>
      </c>
      <c r="P719" s="6" t="s">
        <v>42</v>
      </c>
      <c r="Q719" s="8" t="s">
        <v>43</v>
      </c>
      <c r="R719" s="10" t="s">
        <v>3547</v>
      </c>
      <c r="S719" s="11"/>
      <c r="T719" s="6"/>
      <c r="U719" s="28" t="str">
        <f>HYPERLINK("https://media.infra-m.ru/1895/1895637/cover/1895637.jpg", "Обложка")</f>
        <v>Обложка</v>
      </c>
      <c r="V719" s="28" t="str">
        <f>HYPERLINK("https://znanium.ru/catalog/product/1895637", "Ознакомиться")</f>
        <v>Ознакомиться</v>
      </c>
      <c r="W719" s="8" t="s">
        <v>1596</v>
      </c>
      <c r="X719" s="6"/>
      <c r="Y719" s="6"/>
      <c r="Z719" s="6"/>
      <c r="AA719" s="6" t="s">
        <v>79</v>
      </c>
    </row>
    <row r="720" spans="1:27" s="4" customFormat="1" ht="51.95" customHeight="1">
      <c r="A720" s="5">
        <v>0</v>
      </c>
      <c r="B720" s="6" t="s">
        <v>4018</v>
      </c>
      <c r="C720" s="7">
        <v>1680</v>
      </c>
      <c r="D720" s="8" t="s">
        <v>4019</v>
      </c>
      <c r="E720" s="8" t="s">
        <v>4020</v>
      </c>
      <c r="F720" s="8" t="s">
        <v>912</v>
      </c>
      <c r="G720" s="6" t="s">
        <v>51</v>
      </c>
      <c r="H720" s="6" t="s">
        <v>84</v>
      </c>
      <c r="I720" s="8" t="s">
        <v>250</v>
      </c>
      <c r="J720" s="9">
        <v>1</v>
      </c>
      <c r="K720" s="9">
        <v>367</v>
      </c>
      <c r="L720" s="9">
        <v>2021</v>
      </c>
      <c r="M720" s="8" t="s">
        <v>4021</v>
      </c>
      <c r="N720" s="8" t="s">
        <v>40</v>
      </c>
      <c r="O720" s="8" t="s">
        <v>41</v>
      </c>
      <c r="P720" s="6" t="s">
        <v>42</v>
      </c>
      <c r="Q720" s="8" t="s">
        <v>43</v>
      </c>
      <c r="R720" s="10" t="s">
        <v>4022</v>
      </c>
      <c r="S720" s="11"/>
      <c r="T720" s="6"/>
      <c r="U720" s="28" t="str">
        <f>HYPERLINK("https://media.infra-m.ru/1371/1371623/cover/1371623.jpg", "Обложка")</f>
        <v>Обложка</v>
      </c>
      <c r="V720" s="28" t="str">
        <f>HYPERLINK("https://znanium.ru/catalog/product/1371623", "Ознакомиться")</f>
        <v>Ознакомиться</v>
      </c>
      <c r="W720" s="8" t="s">
        <v>536</v>
      </c>
      <c r="X720" s="6"/>
      <c r="Y720" s="6"/>
      <c r="Z720" s="6"/>
      <c r="AA720" s="6" t="s">
        <v>62</v>
      </c>
    </row>
    <row r="721" spans="1:27" s="4" customFormat="1" ht="51.95" customHeight="1">
      <c r="A721" s="5">
        <v>0</v>
      </c>
      <c r="B721" s="6" t="s">
        <v>4023</v>
      </c>
      <c r="C721" s="7">
        <v>3156</v>
      </c>
      <c r="D721" s="8" t="s">
        <v>4024</v>
      </c>
      <c r="E721" s="8" t="s">
        <v>4025</v>
      </c>
      <c r="F721" s="8" t="s">
        <v>2164</v>
      </c>
      <c r="G721" s="6" t="s">
        <v>58</v>
      </c>
      <c r="H721" s="6" t="s">
        <v>38</v>
      </c>
      <c r="I721" s="8"/>
      <c r="J721" s="9">
        <v>1</v>
      </c>
      <c r="K721" s="9">
        <v>560</v>
      </c>
      <c r="L721" s="9">
        <v>2024</v>
      </c>
      <c r="M721" s="8" t="s">
        <v>4026</v>
      </c>
      <c r="N721" s="8" t="s">
        <v>40</v>
      </c>
      <c r="O721" s="8" t="s">
        <v>41</v>
      </c>
      <c r="P721" s="6" t="s">
        <v>95</v>
      </c>
      <c r="Q721" s="8" t="s">
        <v>76</v>
      </c>
      <c r="R721" s="10" t="s">
        <v>1800</v>
      </c>
      <c r="S721" s="11" t="s">
        <v>883</v>
      </c>
      <c r="T721" s="6"/>
      <c r="U721" s="28" t="str">
        <f>HYPERLINK("https://media.infra-m.ru/2143/2143305/cover/2143305.jpg", "Обложка")</f>
        <v>Обложка</v>
      </c>
      <c r="V721" s="28" t="str">
        <f>HYPERLINK("https://znanium.ru/catalog/product/2143305", "Ознакомиться")</f>
        <v>Ознакомиться</v>
      </c>
      <c r="W721" s="8" t="s">
        <v>78</v>
      </c>
      <c r="X721" s="6"/>
      <c r="Y721" s="6"/>
      <c r="Z721" s="6"/>
      <c r="AA721" s="6" t="s">
        <v>4027</v>
      </c>
    </row>
    <row r="722" spans="1:27" s="4" customFormat="1" ht="42" customHeight="1">
      <c r="A722" s="5">
        <v>0</v>
      </c>
      <c r="B722" s="6" t="s">
        <v>4028</v>
      </c>
      <c r="C722" s="7">
        <v>2429.9</v>
      </c>
      <c r="D722" s="8" t="s">
        <v>4029</v>
      </c>
      <c r="E722" s="8" t="s">
        <v>4030</v>
      </c>
      <c r="F722" s="8" t="s">
        <v>4031</v>
      </c>
      <c r="G722" s="6" t="s">
        <v>58</v>
      </c>
      <c r="H722" s="6" t="s">
        <v>38</v>
      </c>
      <c r="I722" s="8"/>
      <c r="J722" s="9">
        <v>1</v>
      </c>
      <c r="K722" s="9">
        <v>448</v>
      </c>
      <c r="L722" s="9">
        <v>2023</v>
      </c>
      <c r="M722" s="8" t="s">
        <v>4032</v>
      </c>
      <c r="N722" s="8" t="s">
        <v>40</v>
      </c>
      <c r="O722" s="8" t="s">
        <v>41</v>
      </c>
      <c r="P722" s="6" t="s">
        <v>42</v>
      </c>
      <c r="Q722" s="8" t="s">
        <v>43</v>
      </c>
      <c r="R722" s="10" t="s">
        <v>314</v>
      </c>
      <c r="S722" s="11"/>
      <c r="T722" s="6"/>
      <c r="U722" s="28" t="str">
        <f>HYPERLINK("https://media.infra-m.ru/1877/1877452/cover/1877452.jpg", "Обложка")</f>
        <v>Обложка</v>
      </c>
      <c r="V722" s="28" t="str">
        <f>HYPERLINK("https://znanium.ru/catalog/product/978499", "Ознакомиться")</f>
        <v>Ознакомиться</v>
      </c>
      <c r="W722" s="8" t="s">
        <v>743</v>
      </c>
      <c r="X722" s="6"/>
      <c r="Y722" s="6"/>
      <c r="Z722" s="6"/>
      <c r="AA722" s="6" t="s">
        <v>737</v>
      </c>
    </row>
    <row r="723" spans="1:27" s="4" customFormat="1" ht="42" customHeight="1">
      <c r="A723" s="5">
        <v>0</v>
      </c>
      <c r="B723" s="6" t="s">
        <v>4033</v>
      </c>
      <c r="C723" s="7">
        <v>2392.8000000000002</v>
      </c>
      <c r="D723" s="8" t="s">
        <v>4034</v>
      </c>
      <c r="E723" s="8" t="s">
        <v>4035</v>
      </c>
      <c r="F723" s="8" t="s">
        <v>4031</v>
      </c>
      <c r="G723" s="6" t="s">
        <v>37</v>
      </c>
      <c r="H723" s="6" t="s">
        <v>38</v>
      </c>
      <c r="I723" s="8"/>
      <c r="J723" s="9">
        <v>1</v>
      </c>
      <c r="K723" s="9">
        <v>432</v>
      </c>
      <c r="L723" s="9">
        <v>2024</v>
      </c>
      <c r="M723" s="8" t="s">
        <v>4036</v>
      </c>
      <c r="N723" s="8" t="s">
        <v>40</v>
      </c>
      <c r="O723" s="8" t="s">
        <v>41</v>
      </c>
      <c r="P723" s="6" t="s">
        <v>42</v>
      </c>
      <c r="Q723" s="8" t="s">
        <v>43</v>
      </c>
      <c r="R723" s="10" t="s">
        <v>308</v>
      </c>
      <c r="S723" s="11"/>
      <c r="T723" s="6"/>
      <c r="U723" s="28" t="str">
        <f>HYPERLINK("https://media.infra-m.ru/2073/2073499/cover/2073499.jpg", "Обложка")</f>
        <v>Обложка</v>
      </c>
      <c r="V723" s="28" t="str">
        <f>HYPERLINK("https://znanium.ru/catalog/product/1850695", "Ознакомиться")</f>
        <v>Ознакомиться</v>
      </c>
      <c r="W723" s="8" t="s">
        <v>743</v>
      </c>
      <c r="X723" s="6"/>
      <c r="Y723" s="6"/>
      <c r="Z723" s="6"/>
      <c r="AA723" s="6" t="s">
        <v>3040</v>
      </c>
    </row>
    <row r="724" spans="1:27" s="4" customFormat="1" ht="42" customHeight="1">
      <c r="A724" s="5">
        <v>0</v>
      </c>
      <c r="B724" s="6" t="s">
        <v>4037</v>
      </c>
      <c r="C724" s="7">
        <v>1877.9</v>
      </c>
      <c r="D724" s="8" t="s">
        <v>4038</v>
      </c>
      <c r="E724" s="8" t="s">
        <v>4039</v>
      </c>
      <c r="F724" s="8" t="s">
        <v>4040</v>
      </c>
      <c r="G724" s="6" t="s">
        <v>58</v>
      </c>
      <c r="H724" s="6" t="s">
        <v>84</v>
      </c>
      <c r="I724" s="8" t="s">
        <v>85</v>
      </c>
      <c r="J724" s="9">
        <v>1</v>
      </c>
      <c r="K724" s="9">
        <v>348</v>
      </c>
      <c r="L724" s="9">
        <v>2023</v>
      </c>
      <c r="M724" s="8" t="s">
        <v>4041</v>
      </c>
      <c r="N724" s="8" t="s">
        <v>40</v>
      </c>
      <c r="O724" s="8" t="s">
        <v>41</v>
      </c>
      <c r="P724" s="6" t="s">
        <v>42</v>
      </c>
      <c r="Q724" s="8" t="s">
        <v>43</v>
      </c>
      <c r="R724" s="10" t="s">
        <v>3547</v>
      </c>
      <c r="S724" s="11"/>
      <c r="T724" s="6"/>
      <c r="U724" s="28" t="str">
        <f>HYPERLINK("https://media.infra-m.ru/1976/1976148/cover/1976148.jpg", "Обложка")</f>
        <v>Обложка</v>
      </c>
      <c r="V724" s="28" t="str">
        <f>HYPERLINK("https://znanium.ru/catalog/product/1018179", "Ознакомиться")</f>
        <v>Ознакомиться</v>
      </c>
      <c r="W724" s="8" t="s">
        <v>45</v>
      </c>
      <c r="X724" s="6"/>
      <c r="Y724" s="6"/>
      <c r="Z724" s="6"/>
      <c r="AA724" s="6" t="s">
        <v>79</v>
      </c>
    </row>
    <row r="725" spans="1:27" s="4" customFormat="1" ht="42" customHeight="1">
      <c r="A725" s="5">
        <v>0</v>
      </c>
      <c r="B725" s="6" t="s">
        <v>4042</v>
      </c>
      <c r="C725" s="7">
        <v>1056</v>
      </c>
      <c r="D725" s="8" t="s">
        <v>4043</v>
      </c>
      <c r="E725" s="8" t="s">
        <v>4044</v>
      </c>
      <c r="F725" s="8" t="s">
        <v>443</v>
      </c>
      <c r="G725" s="6" t="s">
        <v>51</v>
      </c>
      <c r="H725" s="6" t="s">
        <v>84</v>
      </c>
      <c r="I725" s="8" t="s">
        <v>250</v>
      </c>
      <c r="J725" s="9">
        <v>1</v>
      </c>
      <c r="K725" s="9">
        <v>189</v>
      </c>
      <c r="L725" s="9">
        <v>2024</v>
      </c>
      <c r="M725" s="8" t="s">
        <v>4045</v>
      </c>
      <c r="N725" s="8" t="s">
        <v>40</v>
      </c>
      <c r="O725" s="8" t="s">
        <v>41</v>
      </c>
      <c r="P725" s="6" t="s">
        <v>42</v>
      </c>
      <c r="Q725" s="8" t="s">
        <v>43</v>
      </c>
      <c r="R725" s="10" t="s">
        <v>1376</v>
      </c>
      <c r="S725" s="11"/>
      <c r="T725" s="6"/>
      <c r="U725" s="28" t="str">
        <f>HYPERLINK("https://media.infra-m.ru/2086/2086803/cover/2086803.jpg", "Обложка")</f>
        <v>Обложка</v>
      </c>
      <c r="V725" s="28" t="str">
        <f>HYPERLINK("https://znanium.ru/catalog/product/2086803", "Ознакомиться")</f>
        <v>Ознакомиться</v>
      </c>
      <c r="W725" s="8" t="s">
        <v>446</v>
      </c>
      <c r="X725" s="6"/>
      <c r="Y725" s="6"/>
      <c r="Z725" s="6"/>
      <c r="AA725" s="6" t="s">
        <v>62</v>
      </c>
    </row>
    <row r="726" spans="1:27" s="4" customFormat="1" ht="51.95" customHeight="1">
      <c r="A726" s="5">
        <v>0</v>
      </c>
      <c r="B726" s="6" t="s">
        <v>4046</v>
      </c>
      <c r="C726" s="7">
        <v>1344</v>
      </c>
      <c r="D726" s="8" t="s">
        <v>4047</v>
      </c>
      <c r="E726" s="8" t="s">
        <v>4048</v>
      </c>
      <c r="F726" s="8" t="s">
        <v>829</v>
      </c>
      <c r="G726" s="6" t="s">
        <v>37</v>
      </c>
      <c r="H726" s="6" t="s">
        <v>84</v>
      </c>
      <c r="I726" s="8"/>
      <c r="J726" s="9">
        <v>1</v>
      </c>
      <c r="K726" s="9">
        <v>249</v>
      </c>
      <c r="L726" s="9">
        <v>2023</v>
      </c>
      <c r="M726" s="8" t="s">
        <v>4049</v>
      </c>
      <c r="N726" s="8" t="s">
        <v>40</v>
      </c>
      <c r="O726" s="8" t="s">
        <v>41</v>
      </c>
      <c r="P726" s="6" t="s">
        <v>4050</v>
      </c>
      <c r="Q726" s="8" t="s">
        <v>300</v>
      </c>
      <c r="R726" s="10" t="s">
        <v>4051</v>
      </c>
      <c r="S726" s="11"/>
      <c r="T726" s="6"/>
      <c r="U726" s="28" t="str">
        <f>HYPERLINK("https://media.infra-m.ru/2031/2031715/cover/2031715.jpg", "Обложка")</f>
        <v>Обложка</v>
      </c>
      <c r="V726" s="28" t="str">
        <f>HYPERLINK("https://znanium.ru/catalog/product/2031715", "Ознакомиться")</f>
        <v>Ознакомиться</v>
      </c>
      <c r="W726" s="8"/>
      <c r="X726" s="6"/>
      <c r="Y726" s="6"/>
      <c r="Z726" s="6"/>
      <c r="AA726" s="6" t="s">
        <v>2188</v>
      </c>
    </row>
    <row r="727" spans="1:27" s="4" customFormat="1" ht="42" customHeight="1">
      <c r="A727" s="5">
        <v>0</v>
      </c>
      <c r="B727" s="6" t="s">
        <v>4052</v>
      </c>
      <c r="C727" s="7">
        <v>2460</v>
      </c>
      <c r="D727" s="8" t="s">
        <v>4053</v>
      </c>
      <c r="E727" s="8" t="s">
        <v>4054</v>
      </c>
      <c r="F727" s="8" t="s">
        <v>4055</v>
      </c>
      <c r="G727" s="6" t="s">
        <v>1764</v>
      </c>
      <c r="H727" s="6" t="s">
        <v>38</v>
      </c>
      <c r="I727" s="8"/>
      <c r="J727" s="9">
        <v>1</v>
      </c>
      <c r="K727" s="9">
        <v>520</v>
      </c>
      <c r="L727" s="9">
        <v>2022</v>
      </c>
      <c r="M727" s="8"/>
      <c r="N727" s="8" t="s">
        <v>40</v>
      </c>
      <c r="O727" s="8" t="s">
        <v>41</v>
      </c>
      <c r="P727" s="6" t="s">
        <v>4056</v>
      </c>
      <c r="Q727" s="8" t="s">
        <v>76</v>
      </c>
      <c r="R727" s="10"/>
      <c r="S727" s="11"/>
      <c r="T727" s="6"/>
      <c r="U727" s="28" t="str">
        <f>HYPERLINK("https://media.infra-m.ru/1905/1905565/cover/1905565.jpg", "Обложка")</f>
        <v>Обложка</v>
      </c>
      <c r="V727" s="12"/>
      <c r="W727" s="8" t="s">
        <v>78</v>
      </c>
      <c r="X727" s="6"/>
      <c r="Y727" s="6"/>
      <c r="Z727" s="6"/>
      <c r="AA727" s="6" t="s">
        <v>79</v>
      </c>
    </row>
    <row r="728" spans="1:27" s="4" customFormat="1" ht="42" customHeight="1">
      <c r="A728" s="5">
        <v>0</v>
      </c>
      <c r="B728" s="6" t="s">
        <v>4057</v>
      </c>
      <c r="C728" s="7">
        <v>1740</v>
      </c>
      <c r="D728" s="8" t="s">
        <v>4058</v>
      </c>
      <c r="E728" s="8" t="s">
        <v>4059</v>
      </c>
      <c r="F728" s="8" t="s">
        <v>4060</v>
      </c>
      <c r="G728" s="6" t="s">
        <v>58</v>
      </c>
      <c r="H728" s="6" t="s">
        <v>84</v>
      </c>
      <c r="I728" s="8" t="s">
        <v>250</v>
      </c>
      <c r="J728" s="9">
        <v>1</v>
      </c>
      <c r="K728" s="9">
        <v>302</v>
      </c>
      <c r="L728" s="9">
        <v>2024</v>
      </c>
      <c r="M728" s="8" t="s">
        <v>4061</v>
      </c>
      <c r="N728" s="8" t="s">
        <v>40</v>
      </c>
      <c r="O728" s="8" t="s">
        <v>41</v>
      </c>
      <c r="P728" s="6" t="s">
        <v>42</v>
      </c>
      <c r="Q728" s="8" t="s">
        <v>43</v>
      </c>
      <c r="R728" s="10" t="s">
        <v>4062</v>
      </c>
      <c r="S728" s="11"/>
      <c r="T728" s="6"/>
      <c r="U728" s="28" t="str">
        <f>HYPERLINK("https://media.infra-m.ru/2001/2001726/cover/2001726.jpg", "Обложка")</f>
        <v>Обложка</v>
      </c>
      <c r="V728" s="28" t="str">
        <f>HYPERLINK("https://znanium.ru/catalog/product/2001726", "Ознакомиться")</f>
        <v>Ознакомиться</v>
      </c>
      <c r="W728" s="8" t="s">
        <v>78</v>
      </c>
      <c r="X728" s="6" t="s">
        <v>1609</v>
      </c>
      <c r="Y728" s="6"/>
      <c r="Z728" s="6"/>
      <c r="AA728" s="6" t="s">
        <v>100</v>
      </c>
    </row>
    <row r="729" spans="1:27" s="4" customFormat="1" ht="42" customHeight="1">
      <c r="A729" s="5">
        <v>0</v>
      </c>
      <c r="B729" s="6" t="s">
        <v>4063</v>
      </c>
      <c r="C729" s="7">
        <v>1692</v>
      </c>
      <c r="D729" s="8" t="s">
        <v>4064</v>
      </c>
      <c r="E729" s="8" t="s">
        <v>4065</v>
      </c>
      <c r="F729" s="8" t="s">
        <v>762</v>
      </c>
      <c r="G729" s="6" t="s">
        <v>37</v>
      </c>
      <c r="H729" s="6" t="s">
        <v>84</v>
      </c>
      <c r="I729" s="8" t="s">
        <v>320</v>
      </c>
      <c r="J729" s="9">
        <v>1</v>
      </c>
      <c r="K729" s="9">
        <v>300</v>
      </c>
      <c r="L729" s="9">
        <v>2024</v>
      </c>
      <c r="M729" s="8" t="s">
        <v>4066</v>
      </c>
      <c r="N729" s="8" t="s">
        <v>40</v>
      </c>
      <c r="O729" s="8" t="s">
        <v>41</v>
      </c>
      <c r="P729" s="6" t="s">
        <v>75</v>
      </c>
      <c r="Q729" s="8" t="s">
        <v>157</v>
      </c>
      <c r="R729" s="10" t="s">
        <v>350</v>
      </c>
      <c r="S729" s="11"/>
      <c r="T729" s="6"/>
      <c r="U729" s="28" t="str">
        <f>HYPERLINK("https://media.infra-m.ru/2139/2139110/cover/2139110.jpg", "Обложка")</f>
        <v>Обложка</v>
      </c>
      <c r="V729" s="28" t="str">
        <f>HYPERLINK("https://znanium.ru/catalog/product/2139110", "Ознакомиться")</f>
        <v>Ознакомиться</v>
      </c>
      <c r="W729" s="8" t="s">
        <v>482</v>
      </c>
      <c r="X729" s="6"/>
      <c r="Y729" s="6"/>
      <c r="Z729" s="6"/>
      <c r="AA729" s="6" t="s">
        <v>100</v>
      </c>
    </row>
    <row r="730" spans="1:27" s="4" customFormat="1" ht="42" customHeight="1">
      <c r="A730" s="5">
        <v>0</v>
      </c>
      <c r="B730" s="6" t="s">
        <v>4067</v>
      </c>
      <c r="C730" s="7">
        <v>1768.8</v>
      </c>
      <c r="D730" s="8" t="s">
        <v>4068</v>
      </c>
      <c r="E730" s="8" t="s">
        <v>4069</v>
      </c>
      <c r="F730" s="8" t="s">
        <v>4070</v>
      </c>
      <c r="G730" s="6" t="s">
        <v>58</v>
      </c>
      <c r="H730" s="6" t="s">
        <v>38</v>
      </c>
      <c r="I730" s="8"/>
      <c r="J730" s="9">
        <v>1</v>
      </c>
      <c r="K730" s="9">
        <v>320</v>
      </c>
      <c r="L730" s="9">
        <v>2023</v>
      </c>
      <c r="M730" s="8" t="s">
        <v>4071</v>
      </c>
      <c r="N730" s="8" t="s">
        <v>40</v>
      </c>
      <c r="O730" s="8" t="s">
        <v>41</v>
      </c>
      <c r="P730" s="6" t="s">
        <v>42</v>
      </c>
      <c r="Q730" s="8" t="s">
        <v>43</v>
      </c>
      <c r="R730" s="10" t="s">
        <v>308</v>
      </c>
      <c r="S730" s="11"/>
      <c r="T730" s="6"/>
      <c r="U730" s="28" t="str">
        <f>HYPERLINK("https://media.infra-m.ru/2045/2045940/cover/2045940.jpg", "Обложка")</f>
        <v>Обложка</v>
      </c>
      <c r="V730" s="28" t="str">
        <f>HYPERLINK("https://znanium.ru/catalog/product/1240961", "Ознакомиться")</f>
        <v>Ознакомиться</v>
      </c>
      <c r="W730" s="8" t="s">
        <v>61</v>
      </c>
      <c r="X730" s="6"/>
      <c r="Y730" s="6"/>
      <c r="Z730" s="6"/>
      <c r="AA730" s="6" t="s">
        <v>293</v>
      </c>
    </row>
    <row r="731" spans="1:27" s="4" customFormat="1" ht="51.95" customHeight="1">
      <c r="A731" s="5">
        <v>0</v>
      </c>
      <c r="B731" s="6" t="s">
        <v>4072</v>
      </c>
      <c r="C731" s="13">
        <v>888</v>
      </c>
      <c r="D731" s="8" t="s">
        <v>4073</v>
      </c>
      <c r="E731" s="8" t="s">
        <v>4074</v>
      </c>
      <c r="F731" s="8" t="s">
        <v>4075</v>
      </c>
      <c r="G731" s="6" t="s">
        <v>37</v>
      </c>
      <c r="H731" s="6" t="s">
        <v>38</v>
      </c>
      <c r="I731" s="8"/>
      <c r="J731" s="9">
        <v>1</v>
      </c>
      <c r="K731" s="9">
        <v>176</v>
      </c>
      <c r="L731" s="9">
        <v>2023</v>
      </c>
      <c r="M731" s="8" t="s">
        <v>4076</v>
      </c>
      <c r="N731" s="8" t="s">
        <v>40</v>
      </c>
      <c r="O731" s="8" t="s">
        <v>41</v>
      </c>
      <c r="P731" s="6" t="s">
        <v>42</v>
      </c>
      <c r="Q731" s="8" t="s">
        <v>43</v>
      </c>
      <c r="R731" s="10" t="s">
        <v>3375</v>
      </c>
      <c r="S731" s="11"/>
      <c r="T731" s="6"/>
      <c r="U731" s="28" t="str">
        <f>HYPERLINK("https://media.infra-m.ru/1867/1867950/cover/1867950.jpg", "Обложка")</f>
        <v>Обложка</v>
      </c>
      <c r="V731" s="28" t="str">
        <f>HYPERLINK("https://znanium.ru/catalog/product/1837928", "Ознакомиться")</f>
        <v>Ознакомиться</v>
      </c>
      <c r="W731" s="8" t="s">
        <v>78</v>
      </c>
      <c r="X731" s="6"/>
      <c r="Y731" s="6"/>
      <c r="Z731" s="6"/>
      <c r="AA731" s="6" t="s">
        <v>302</v>
      </c>
    </row>
    <row r="732" spans="1:27" s="4" customFormat="1" ht="42" customHeight="1">
      <c r="A732" s="5">
        <v>0</v>
      </c>
      <c r="B732" s="6" t="s">
        <v>4077</v>
      </c>
      <c r="C732" s="7">
        <v>2213.9</v>
      </c>
      <c r="D732" s="8" t="s">
        <v>4078</v>
      </c>
      <c r="E732" s="8" t="s">
        <v>4079</v>
      </c>
      <c r="F732" s="8" t="s">
        <v>4080</v>
      </c>
      <c r="G732" s="6" t="s">
        <v>58</v>
      </c>
      <c r="H732" s="6" t="s">
        <v>38</v>
      </c>
      <c r="I732" s="8"/>
      <c r="J732" s="9">
        <v>1</v>
      </c>
      <c r="K732" s="9">
        <v>400</v>
      </c>
      <c r="L732" s="9">
        <v>2024</v>
      </c>
      <c r="M732" s="8" t="s">
        <v>4081</v>
      </c>
      <c r="N732" s="8" t="s">
        <v>40</v>
      </c>
      <c r="O732" s="8" t="s">
        <v>41</v>
      </c>
      <c r="P732" s="6" t="s">
        <v>42</v>
      </c>
      <c r="Q732" s="8" t="s">
        <v>43</v>
      </c>
      <c r="R732" s="10" t="s">
        <v>113</v>
      </c>
      <c r="S732" s="11"/>
      <c r="T732" s="6"/>
      <c r="U732" s="28" t="str">
        <f>HYPERLINK("https://media.infra-m.ru/2134/2134352/cover/2134352.jpg", "Обложка")</f>
        <v>Обложка</v>
      </c>
      <c r="V732" s="28" t="str">
        <f>HYPERLINK("https://znanium.ru/catalog/product/1324017", "Ознакомиться")</f>
        <v>Ознакомиться</v>
      </c>
      <c r="W732" s="8" t="s">
        <v>3262</v>
      </c>
      <c r="X732" s="6"/>
      <c r="Y732" s="6"/>
      <c r="Z732" s="6"/>
      <c r="AA732" s="6" t="s">
        <v>302</v>
      </c>
    </row>
    <row r="733" spans="1:27" s="4" customFormat="1" ht="51.95" customHeight="1">
      <c r="A733" s="5">
        <v>0</v>
      </c>
      <c r="B733" s="6" t="s">
        <v>4082</v>
      </c>
      <c r="C733" s="7">
        <v>1092</v>
      </c>
      <c r="D733" s="8" t="s">
        <v>4083</v>
      </c>
      <c r="E733" s="8" t="s">
        <v>4084</v>
      </c>
      <c r="F733" s="8" t="s">
        <v>4085</v>
      </c>
      <c r="G733" s="6" t="s">
        <v>58</v>
      </c>
      <c r="H733" s="6" t="s">
        <v>38</v>
      </c>
      <c r="I733" s="8"/>
      <c r="J733" s="9">
        <v>1</v>
      </c>
      <c r="K733" s="9">
        <v>180</v>
      </c>
      <c r="L733" s="9">
        <v>2024</v>
      </c>
      <c r="M733" s="8" t="s">
        <v>4086</v>
      </c>
      <c r="N733" s="8" t="s">
        <v>40</v>
      </c>
      <c r="O733" s="8" t="s">
        <v>41</v>
      </c>
      <c r="P733" s="6" t="s">
        <v>75</v>
      </c>
      <c r="Q733" s="8" t="s">
        <v>515</v>
      </c>
      <c r="R733" s="10" t="s">
        <v>122</v>
      </c>
      <c r="S733" s="11"/>
      <c r="T733" s="6"/>
      <c r="U733" s="28" t="str">
        <f>HYPERLINK("https://media.infra-m.ru/2123/2123873/cover/2123873.jpg", "Обложка")</f>
        <v>Обложка</v>
      </c>
      <c r="V733" s="28" t="str">
        <f>HYPERLINK("https://znanium.ru/catalog/product/2123873", "Ознакомиться")</f>
        <v>Ознакомиться</v>
      </c>
      <c r="W733" s="8" t="s">
        <v>4087</v>
      </c>
      <c r="X733" s="6" t="s">
        <v>3280</v>
      </c>
      <c r="Y733" s="6"/>
      <c r="Z733" s="6"/>
      <c r="AA733" s="6" t="s">
        <v>100</v>
      </c>
    </row>
    <row r="734" spans="1:27" s="4" customFormat="1" ht="51.95" customHeight="1">
      <c r="A734" s="5">
        <v>0</v>
      </c>
      <c r="B734" s="6" t="s">
        <v>4088</v>
      </c>
      <c r="C734" s="7">
        <v>2454</v>
      </c>
      <c r="D734" s="8" t="s">
        <v>4089</v>
      </c>
      <c r="E734" s="8" t="s">
        <v>4090</v>
      </c>
      <c r="F734" s="8" t="s">
        <v>3131</v>
      </c>
      <c r="G734" s="6" t="s">
        <v>58</v>
      </c>
      <c r="H734" s="6" t="s">
        <v>84</v>
      </c>
      <c r="I734" s="8"/>
      <c r="J734" s="9">
        <v>1</v>
      </c>
      <c r="K734" s="9">
        <v>630</v>
      </c>
      <c r="L734" s="9">
        <v>2024</v>
      </c>
      <c r="M734" s="8" t="s">
        <v>4091</v>
      </c>
      <c r="N734" s="8" t="s">
        <v>40</v>
      </c>
      <c r="O734" s="8" t="s">
        <v>41</v>
      </c>
      <c r="P734" s="6" t="s">
        <v>299</v>
      </c>
      <c r="Q734" s="8" t="s">
        <v>43</v>
      </c>
      <c r="R734" s="10" t="s">
        <v>1105</v>
      </c>
      <c r="S734" s="11"/>
      <c r="T734" s="6"/>
      <c r="U734" s="28" t="str">
        <f>HYPERLINK("https://media.infra-m.ru/2095/2095602/cover/2095602.jpg", "Обложка")</f>
        <v>Обложка</v>
      </c>
      <c r="V734" s="12"/>
      <c r="W734" s="8" t="s">
        <v>1399</v>
      </c>
      <c r="X734" s="6"/>
      <c r="Y734" s="6"/>
      <c r="Z734" s="6"/>
      <c r="AA734" s="6" t="s">
        <v>62</v>
      </c>
    </row>
    <row r="735" spans="1:27" s="4" customFormat="1" ht="51.95" customHeight="1">
      <c r="A735" s="5">
        <v>0</v>
      </c>
      <c r="B735" s="6" t="s">
        <v>4092</v>
      </c>
      <c r="C735" s="7">
        <v>2220</v>
      </c>
      <c r="D735" s="8" t="s">
        <v>4093</v>
      </c>
      <c r="E735" s="8" t="s">
        <v>4094</v>
      </c>
      <c r="F735" s="8" t="s">
        <v>3131</v>
      </c>
      <c r="G735" s="6" t="s">
        <v>37</v>
      </c>
      <c r="H735" s="6" t="s">
        <v>84</v>
      </c>
      <c r="I735" s="8"/>
      <c r="J735" s="9">
        <v>1</v>
      </c>
      <c r="K735" s="9">
        <v>412</v>
      </c>
      <c r="L735" s="9">
        <v>2023</v>
      </c>
      <c r="M735" s="8" t="s">
        <v>4095</v>
      </c>
      <c r="N735" s="8" t="s">
        <v>40</v>
      </c>
      <c r="O735" s="8" t="s">
        <v>41</v>
      </c>
      <c r="P735" s="6" t="s">
        <v>299</v>
      </c>
      <c r="Q735" s="8" t="s">
        <v>43</v>
      </c>
      <c r="R735" s="10" t="s">
        <v>4096</v>
      </c>
      <c r="S735" s="11"/>
      <c r="T735" s="6"/>
      <c r="U735" s="28" t="str">
        <f>HYPERLINK("https://media.infra-m.ru/1915/1915815/cover/1915815.jpg", "Обложка")</f>
        <v>Обложка</v>
      </c>
      <c r="V735" s="12"/>
      <c r="W735" s="8" t="s">
        <v>1399</v>
      </c>
      <c r="X735" s="6"/>
      <c r="Y735" s="6"/>
      <c r="Z735" s="6"/>
      <c r="AA735" s="6" t="s">
        <v>353</v>
      </c>
    </row>
    <row r="736" spans="1:27" s="4" customFormat="1" ht="42" customHeight="1">
      <c r="A736" s="5">
        <v>0</v>
      </c>
      <c r="B736" s="6" t="s">
        <v>4097</v>
      </c>
      <c r="C736" s="7">
        <v>1433.9</v>
      </c>
      <c r="D736" s="8" t="s">
        <v>4098</v>
      </c>
      <c r="E736" s="8" t="s">
        <v>4099</v>
      </c>
      <c r="F736" s="8" t="s">
        <v>4100</v>
      </c>
      <c r="G736" s="6" t="s">
        <v>51</v>
      </c>
      <c r="H736" s="6" t="s">
        <v>52</v>
      </c>
      <c r="I736" s="8" t="s">
        <v>250</v>
      </c>
      <c r="J736" s="9">
        <v>1</v>
      </c>
      <c r="K736" s="9">
        <v>342</v>
      </c>
      <c r="L736" s="9">
        <v>2020</v>
      </c>
      <c r="M736" s="8" t="s">
        <v>4101</v>
      </c>
      <c r="N736" s="8" t="s">
        <v>40</v>
      </c>
      <c r="O736" s="8" t="s">
        <v>41</v>
      </c>
      <c r="P736" s="6" t="s">
        <v>42</v>
      </c>
      <c r="Q736" s="8" t="s">
        <v>43</v>
      </c>
      <c r="R736" s="10" t="s">
        <v>308</v>
      </c>
      <c r="S736" s="11"/>
      <c r="T736" s="6"/>
      <c r="U736" s="28" t="str">
        <f>HYPERLINK("https://media.infra-m.ru/1042/1042253/cover/1042253.jpg", "Обложка")</f>
        <v>Обложка</v>
      </c>
      <c r="V736" s="28" t="str">
        <f>HYPERLINK("https://znanium.ru/catalog/product/1042253", "Ознакомиться")</f>
        <v>Ознакомиться</v>
      </c>
      <c r="W736" s="8"/>
      <c r="X736" s="6"/>
      <c r="Y736" s="6"/>
      <c r="Z736" s="6"/>
      <c r="AA736" s="6" t="s">
        <v>3192</v>
      </c>
    </row>
    <row r="737" spans="1:27" s="4" customFormat="1" ht="51.95" customHeight="1">
      <c r="A737" s="5">
        <v>0</v>
      </c>
      <c r="B737" s="6" t="s">
        <v>4102</v>
      </c>
      <c r="C737" s="7">
        <v>1816.8</v>
      </c>
      <c r="D737" s="8" t="s">
        <v>4103</v>
      </c>
      <c r="E737" s="8" t="s">
        <v>4104</v>
      </c>
      <c r="F737" s="8" t="s">
        <v>4105</v>
      </c>
      <c r="G737" s="6" t="s">
        <v>37</v>
      </c>
      <c r="H737" s="6" t="s">
        <v>52</v>
      </c>
      <c r="I737" s="8" t="s">
        <v>120</v>
      </c>
      <c r="J737" s="9">
        <v>1</v>
      </c>
      <c r="K737" s="9">
        <v>332</v>
      </c>
      <c r="L737" s="9">
        <v>2023</v>
      </c>
      <c r="M737" s="8" t="s">
        <v>4106</v>
      </c>
      <c r="N737" s="8" t="s">
        <v>40</v>
      </c>
      <c r="O737" s="8" t="s">
        <v>41</v>
      </c>
      <c r="P737" s="6" t="s">
        <v>95</v>
      </c>
      <c r="Q737" s="8" t="s">
        <v>76</v>
      </c>
      <c r="R737" s="10" t="s">
        <v>234</v>
      </c>
      <c r="S737" s="11" t="s">
        <v>4107</v>
      </c>
      <c r="T737" s="6"/>
      <c r="U737" s="28" t="str">
        <f>HYPERLINK("https://media.infra-m.ru/2009/2009711/cover/2009711.jpg", "Обложка")</f>
        <v>Обложка</v>
      </c>
      <c r="V737" s="28" t="str">
        <f>HYPERLINK("https://znanium.ru/catalog/product/2131417", "Ознакомиться")</f>
        <v>Ознакомиться</v>
      </c>
      <c r="W737" s="8"/>
      <c r="X737" s="6"/>
      <c r="Y737" s="6"/>
      <c r="Z737" s="6"/>
      <c r="AA737" s="6" t="s">
        <v>673</v>
      </c>
    </row>
    <row r="738" spans="1:27" s="4" customFormat="1" ht="51.95" customHeight="1">
      <c r="A738" s="5">
        <v>0</v>
      </c>
      <c r="B738" s="6" t="s">
        <v>4108</v>
      </c>
      <c r="C738" s="7">
        <v>1968</v>
      </c>
      <c r="D738" s="8" t="s">
        <v>4109</v>
      </c>
      <c r="E738" s="8" t="s">
        <v>4110</v>
      </c>
      <c r="F738" s="8" t="s">
        <v>4105</v>
      </c>
      <c r="G738" s="6" t="s">
        <v>58</v>
      </c>
      <c r="H738" s="6" t="s">
        <v>52</v>
      </c>
      <c r="I738" s="8" t="s">
        <v>2209</v>
      </c>
      <c r="J738" s="9">
        <v>1</v>
      </c>
      <c r="K738" s="9">
        <v>346</v>
      </c>
      <c r="L738" s="9">
        <v>2024</v>
      </c>
      <c r="M738" s="8" t="s">
        <v>4111</v>
      </c>
      <c r="N738" s="8" t="s">
        <v>40</v>
      </c>
      <c r="O738" s="8" t="s">
        <v>41</v>
      </c>
      <c r="P738" s="6" t="s">
        <v>95</v>
      </c>
      <c r="Q738" s="8" t="s">
        <v>96</v>
      </c>
      <c r="R738" s="10" t="s">
        <v>97</v>
      </c>
      <c r="S738" s="11" t="s">
        <v>4107</v>
      </c>
      <c r="T738" s="6" t="s">
        <v>378</v>
      </c>
      <c r="U738" s="28" t="str">
        <f>HYPERLINK("https://media.infra-m.ru/2139/2139105/cover/2139105.jpg", "Обложка")</f>
        <v>Обложка</v>
      </c>
      <c r="V738" s="28" t="str">
        <f>HYPERLINK("https://znanium.ru/catalog/product/2139105", "Ознакомиться")</f>
        <v>Ознакомиться</v>
      </c>
      <c r="W738" s="8"/>
      <c r="X738" s="6" t="s">
        <v>1412</v>
      </c>
      <c r="Y738" s="6"/>
      <c r="Z738" s="6" t="s">
        <v>1153</v>
      </c>
      <c r="AA738" s="6" t="s">
        <v>392</v>
      </c>
    </row>
    <row r="739" spans="1:27" s="4" customFormat="1" ht="51.95" customHeight="1">
      <c r="A739" s="5">
        <v>0</v>
      </c>
      <c r="B739" s="6" t="s">
        <v>4112</v>
      </c>
      <c r="C739" s="7">
        <v>1908</v>
      </c>
      <c r="D739" s="8" t="s">
        <v>4113</v>
      </c>
      <c r="E739" s="8" t="s">
        <v>4114</v>
      </c>
      <c r="F739" s="8" t="s">
        <v>4105</v>
      </c>
      <c r="G739" s="6" t="s">
        <v>37</v>
      </c>
      <c r="H739" s="6" t="s">
        <v>52</v>
      </c>
      <c r="I739" s="8" t="s">
        <v>120</v>
      </c>
      <c r="J739" s="9">
        <v>1</v>
      </c>
      <c r="K739" s="9">
        <v>331</v>
      </c>
      <c r="L739" s="9">
        <v>2024</v>
      </c>
      <c r="M739" s="8" t="s">
        <v>4115</v>
      </c>
      <c r="N739" s="8" t="s">
        <v>40</v>
      </c>
      <c r="O739" s="8" t="s">
        <v>41</v>
      </c>
      <c r="P739" s="6" t="s">
        <v>95</v>
      </c>
      <c r="Q739" s="8" t="s">
        <v>515</v>
      </c>
      <c r="R739" s="10" t="s">
        <v>234</v>
      </c>
      <c r="S739" s="11" t="s">
        <v>4107</v>
      </c>
      <c r="T739" s="6" t="s">
        <v>378</v>
      </c>
      <c r="U739" s="28" t="str">
        <f>HYPERLINK("https://media.infra-m.ru/2131/2131417/cover/2131417.jpg", "Обложка")</f>
        <v>Обложка</v>
      </c>
      <c r="V739" s="28" t="str">
        <f>HYPERLINK("https://znanium.ru/catalog/product/2131417", "Ознакомиться")</f>
        <v>Ознакомиться</v>
      </c>
      <c r="W739" s="8"/>
      <c r="X739" s="6"/>
      <c r="Y739" s="6"/>
      <c r="Z739" s="6"/>
      <c r="AA739" s="6" t="s">
        <v>3150</v>
      </c>
    </row>
    <row r="740" spans="1:27" s="4" customFormat="1" ht="51.95" customHeight="1">
      <c r="A740" s="5">
        <v>0</v>
      </c>
      <c r="B740" s="6" t="s">
        <v>4116</v>
      </c>
      <c r="C740" s="13">
        <v>672</v>
      </c>
      <c r="D740" s="8" t="s">
        <v>4117</v>
      </c>
      <c r="E740" s="8" t="s">
        <v>4110</v>
      </c>
      <c r="F740" s="8" t="s">
        <v>4100</v>
      </c>
      <c r="G740" s="6" t="s">
        <v>51</v>
      </c>
      <c r="H740" s="6" t="s">
        <v>52</v>
      </c>
      <c r="I740" s="8" t="s">
        <v>3084</v>
      </c>
      <c r="J740" s="9">
        <v>1</v>
      </c>
      <c r="K740" s="9">
        <v>281</v>
      </c>
      <c r="L740" s="9">
        <v>2019</v>
      </c>
      <c r="M740" s="8" t="s">
        <v>4118</v>
      </c>
      <c r="N740" s="8" t="s">
        <v>40</v>
      </c>
      <c r="O740" s="8" t="s">
        <v>41</v>
      </c>
      <c r="P740" s="6" t="s">
        <v>75</v>
      </c>
      <c r="Q740" s="8" t="s">
        <v>76</v>
      </c>
      <c r="R740" s="10" t="s">
        <v>3052</v>
      </c>
      <c r="S740" s="11"/>
      <c r="T740" s="6"/>
      <c r="U740" s="28" t="str">
        <f>HYPERLINK("https://media.infra-m.ru/0999/0999590/cover/999590.jpg", "Обложка")</f>
        <v>Обложка</v>
      </c>
      <c r="V740" s="28" t="str">
        <f>HYPERLINK("https://znanium.ru/catalog/product/2073484", "Ознакомиться")</f>
        <v>Ознакомиться</v>
      </c>
      <c r="W740" s="8"/>
      <c r="X740" s="6"/>
      <c r="Y740" s="6"/>
      <c r="Z740" s="6"/>
      <c r="AA740" s="6" t="s">
        <v>557</v>
      </c>
    </row>
    <row r="741" spans="1:27" s="4" customFormat="1" ht="51.95" customHeight="1">
      <c r="A741" s="5">
        <v>0</v>
      </c>
      <c r="B741" s="6" t="s">
        <v>4119</v>
      </c>
      <c r="C741" s="7">
        <v>1020</v>
      </c>
      <c r="D741" s="8" t="s">
        <v>4120</v>
      </c>
      <c r="E741" s="8" t="s">
        <v>4114</v>
      </c>
      <c r="F741" s="8" t="s">
        <v>4105</v>
      </c>
      <c r="G741" s="6" t="s">
        <v>51</v>
      </c>
      <c r="H741" s="6" t="s">
        <v>52</v>
      </c>
      <c r="I741" s="8" t="s">
        <v>120</v>
      </c>
      <c r="J741" s="9">
        <v>1</v>
      </c>
      <c r="K741" s="9">
        <v>282</v>
      </c>
      <c r="L741" s="9">
        <v>2024</v>
      </c>
      <c r="M741" s="8" t="s">
        <v>4121</v>
      </c>
      <c r="N741" s="8" t="s">
        <v>40</v>
      </c>
      <c r="O741" s="8" t="s">
        <v>41</v>
      </c>
      <c r="P741" s="6" t="s">
        <v>75</v>
      </c>
      <c r="Q741" s="8" t="s">
        <v>76</v>
      </c>
      <c r="R741" s="10" t="s">
        <v>3052</v>
      </c>
      <c r="S741" s="11"/>
      <c r="T741" s="6"/>
      <c r="U741" s="28" t="str">
        <f>HYPERLINK("https://media.infra-m.ru/2073/2073484/cover/2073484.jpg", "Обложка")</f>
        <v>Обложка</v>
      </c>
      <c r="V741" s="28" t="str">
        <f>HYPERLINK("https://znanium.ru/catalog/product/2073484", "Ознакомиться")</f>
        <v>Ознакомиться</v>
      </c>
      <c r="W741" s="8"/>
      <c r="X741" s="6" t="s">
        <v>498</v>
      </c>
      <c r="Y741" s="6"/>
      <c r="Z741" s="6"/>
      <c r="AA741" s="6" t="s">
        <v>3150</v>
      </c>
    </row>
    <row r="742" spans="1:27" s="4" customFormat="1" ht="51.95" customHeight="1">
      <c r="A742" s="5">
        <v>0</v>
      </c>
      <c r="B742" s="6" t="s">
        <v>4122</v>
      </c>
      <c r="C742" s="13">
        <v>683.9</v>
      </c>
      <c r="D742" s="8" t="s">
        <v>4123</v>
      </c>
      <c r="E742" s="8" t="s">
        <v>4104</v>
      </c>
      <c r="F742" s="8" t="s">
        <v>4105</v>
      </c>
      <c r="G742" s="6" t="s">
        <v>51</v>
      </c>
      <c r="H742" s="6" t="s">
        <v>52</v>
      </c>
      <c r="I742" s="8" t="s">
        <v>3084</v>
      </c>
      <c r="J742" s="9">
        <v>1</v>
      </c>
      <c r="K742" s="9">
        <v>281</v>
      </c>
      <c r="L742" s="9">
        <v>2019</v>
      </c>
      <c r="M742" s="8" t="s">
        <v>4124</v>
      </c>
      <c r="N742" s="8" t="s">
        <v>40</v>
      </c>
      <c r="O742" s="8" t="s">
        <v>41</v>
      </c>
      <c r="P742" s="6" t="s">
        <v>75</v>
      </c>
      <c r="Q742" s="8" t="s">
        <v>76</v>
      </c>
      <c r="R742" s="10" t="s">
        <v>3052</v>
      </c>
      <c r="S742" s="11"/>
      <c r="T742" s="6"/>
      <c r="U742" s="28" t="str">
        <f>HYPERLINK("https://media.infra-m.ru/1020/1020210/cover/1020210.jpg", "Обложка")</f>
        <v>Обложка</v>
      </c>
      <c r="V742" s="28" t="str">
        <f>HYPERLINK("https://znanium.ru/catalog/product/2073484", "Ознакомиться")</f>
        <v>Ознакомиться</v>
      </c>
      <c r="W742" s="8"/>
      <c r="X742" s="6"/>
      <c r="Y742" s="6"/>
      <c r="Z742" s="6"/>
      <c r="AA742" s="6" t="s">
        <v>673</v>
      </c>
    </row>
    <row r="743" spans="1:27" s="4" customFormat="1" ht="51.95" customHeight="1">
      <c r="A743" s="5">
        <v>0</v>
      </c>
      <c r="B743" s="6" t="s">
        <v>4125</v>
      </c>
      <c r="C743" s="7">
        <v>1488</v>
      </c>
      <c r="D743" s="8" t="s">
        <v>4126</v>
      </c>
      <c r="E743" s="8" t="s">
        <v>4127</v>
      </c>
      <c r="F743" s="8" t="s">
        <v>4105</v>
      </c>
      <c r="G743" s="6" t="s">
        <v>58</v>
      </c>
      <c r="H743" s="6" t="s">
        <v>52</v>
      </c>
      <c r="I743" s="8" t="s">
        <v>2209</v>
      </c>
      <c r="J743" s="9">
        <v>1</v>
      </c>
      <c r="K743" s="9">
        <v>326</v>
      </c>
      <c r="L743" s="9">
        <v>2022</v>
      </c>
      <c r="M743" s="8" t="s">
        <v>4128</v>
      </c>
      <c r="N743" s="8" t="s">
        <v>40</v>
      </c>
      <c r="O743" s="8" t="s">
        <v>41</v>
      </c>
      <c r="P743" s="6" t="s">
        <v>95</v>
      </c>
      <c r="Q743" s="8" t="s">
        <v>96</v>
      </c>
      <c r="R743" s="10" t="s">
        <v>97</v>
      </c>
      <c r="S743" s="11" t="s">
        <v>4107</v>
      </c>
      <c r="T743" s="6" t="s">
        <v>378</v>
      </c>
      <c r="U743" s="28" t="str">
        <f>HYPERLINK("https://media.infra-m.ru/1844/1844547/cover/1844547.jpg", "Обложка")</f>
        <v>Обложка</v>
      </c>
      <c r="V743" s="28" t="str">
        <f>HYPERLINK("https://znanium.ru/catalog/product/2139105", "Ознакомиться")</f>
        <v>Ознакомиться</v>
      </c>
      <c r="W743" s="8"/>
      <c r="X743" s="6"/>
      <c r="Y743" s="6"/>
      <c r="Z743" s="6" t="s">
        <v>1153</v>
      </c>
      <c r="AA743" s="6" t="s">
        <v>353</v>
      </c>
    </row>
    <row r="744" spans="1:27" s="4" customFormat="1" ht="51.95" customHeight="1">
      <c r="A744" s="5">
        <v>0</v>
      </c>
      <c r="B744" s="6" t="s">
        <v>4129</v>
      </c>
      <c r="C744" s="7">
        <v>1140</v>
      </c>
      <c r="D744" s="8" t="s">
        <v>4130</v>
      </c>
      <c r="E744" s="8" t="s">
        <v>4110</v>
      </c>
      <c r="F744" s="8" t="s">
        <v>4105</v>
      </c>
      <c r="G744" s="6" t="s">
        <v>37</v>
      </c>
      <c r="H744" s="6" t="s">
        <v>52</v>
      </c>
      <c r="I744" s="8" t="s">
        <v>184</v>
      </c>
      <c r="J744" s="9">
        <v>1</v>
      </c>
      <c r="K744" s="9">
        <v>324</v>
      </c>
      <c r="L744" s="9">
        <v>2018</v>
      </c>
      <c r="M744" s="8" t="s">
        <v>4131</v>
      </c>
      <c r="N744" s="8" t="s">
        <v>40</v>
      </c>
      <c r="O744" s="8" t="s">
        <v>41</v>
      </c>
      <c r="P744" s="6" t="s">
        <v>95</v>
      </c>
      <c r="Q744" s="8" t="s">
        <v>76</v>
      </c>
      <c r="R744" s="10" t="s">
        <v>234</v>
      </c>
      <c r="S744" s="11" t="s">
        <v>4107</v>
      </c>
      <c r="T744" s="6" t="s">
        <v>378</v>
      </c>
      <c r="U744" s="28" t="str">
        <f>HYPERLINK("https://media.infra-m.ru/0961/0961749/cover/961749.jpg", "Обложка")</f>
        <v>Обложка</v>
      </c>
      <c r="V744" s="28" t="str">
        <f>HYPERLINK("https://znanium.ru/catalog/product/2131417", "Ознакомиться")</f>
        <v>Ознакомиться</v>
      </c>
      <c r="W744" s="8"/>
      <c r="X744" s="6"/>
      <c r="Y744" s="6"/>
      <c r="Z744" s="6"/>
      <c r="AA744" s="6" t="s">
        <v>557</v>
      </c>
    </row>
    <row r="745" spans="1:27" s="4" customFormat="1" ht="51.95" customHeight="1">
      <c r="A745" s="5">
        <v>0</v>
      </c>
      <c r="B745" s="6" t="s">
        <v>4132</v>
      </c>
      <c r="C745" s="7">
        <v>2328</v>
      </c>
      <c r="D745" s="8" t="s">
        <v>4133</v>
      </c>
      <c r="E745" s="8" t="s">
        <v>4134</v>
      </c>
      <c r="F745" s="8" t="s">
        <v>4135</v>
      </c>
      <c r="G745" s="6" t="s">
        <v>58</v>
      </c>
      <c r="H745" s="6" t="s">
        <v>84</v>
      </c>
      <c r="I745" s="8"/>
      <c r="J745" s="9">
        <v>1</v>
      </c>
      <c r="K745" s="9">
        <v>415</v>
      </c>
      <c r="L745" s="9">
        <v>2024</v>
      </c>
      <c r="M745" s="8" t="s">
        <v>4136</v>
      </c>
      <c r="N745" s="8" t="s">
        <v>40</v>
      </c>
      <c r="O745" s="8" t="s">
        <v>41</v>
      </c>
      <c r="P745" s="6" t="s">
        <v>42</v>
      </c>
      <c r="Q745" s="8" t="s">
        <v>43</v>
      </c>
      <c r="R745" s="10" t="s">
        <v>469</v>
      </c>
      <c r="S745" s="11"/>
      <c r="T745" s="6"/>
      <c r="U745" s="28" t="str">
        <f>HYPERLINK("https://media.infra-m.ru/2124/2124750/cover/2124750.jpg", "Обложка")</f>
        <v>Обложка</v>
      </c>
      <c r="V745" s="28" t="str">
        <f>HYPERLINK("https://znanium.ru/catalog/product/2124750", "Ознакомиться")</f>
        <v>Ознакомиться</v>
      </c>
      <c r="W745" s="8" t="s">
        <v>723</v>
      </c>
      <c r="X745" s="6"/>
      <c r="Y745" s="6"/>
      <c r="Z745" s="6"/>
      <c r="AA745" s="6" t="s">
        <v>557</v>
      </c>
    </row>
    <row r="746" spans="1:27" s="4" customFormat="1" ht="42" customHeight="1">
      <c r="A746" s="5">
        <v>0</v>
      </c>
      <c r="B746" s="6" t="s">
        <v>4137</v>
      </c>
      <c r="C746" s="13">
        <v>989.9</v>
      </c>
      <c r="D746" s="8" t="s">
        <v>4138</v>
      </c>
      <c r="E746" s="8" t="s">
        <v>4139</v>
      </c>
      <c r="F746" s="8" t="s">
        <v>4140</v>
      </c>
      <c r="G746" s="6" t="s">
        <v>1764</v>
      </c>
      <c r="H746" s="6" t="s">
        <v>38</v>
      </c>
      <c r="I746" s="8"/>
      <c r="J746" s="14">
        <v>0</v>
      </c>
      <c r="K746" s="9">
        <v>576</v>
      </c>
      <c r="L746" s="9">
        <v>2015</v>
      </c>
      <c r="M746" s="8" t="s">
        <v>4141</v>
      </c>
      <c r="N746" s="8" t="s">
        <v>40</v>
      </c>
      <c r="O746" s="8" t="s">
        <v>41</v>
      </c>
      <c r="P746" s="6" t="s">
        <v>2858</v>
      </c>
      <c r="Q746" s="8" t="s">
        <v>43</v>
      </c>
      <c r="R746" s="10"/>
      <c r="S746" s="11"/>
      <c r="T746" s="6"/>
      <c r="U746" s="28" t="str">
        <f>HYPERLINK("https://media.infra-m.ru/0765/0765855/cover/765855.jpg", "Обложка")</f>
        <v>Обложка</v>
      </c>
      <c r="V746" s="12"/>
      <c r="W746" s="8" t="s">
        <v>4142</v>
      </c>
      <c r="X746" s="6"/>
      <c r="Y746" s="6"/>
      <c r="Z746" s="6"/>
      <c r="AA746" s="6" t="s">
        <v>302</v>
      </c>
    </row>
    <row r="747" spans="1:27" s="4" customFormat="1" ht="42" customHeight="1">
      <c r="A747" s="5">
        <v>0</v>
      </c>
      <c r="B747" s="6" t="s">
        <v>4143</v>
      </c>
      <c r="C747" s="7">
        <v>1444.7</v>
      </c>
      <c r="D747" s="8" t="s">
        <v>4144</v>
      </c>
      <c r="E747" s="8" t="s">
        <v>4145</v>
      </c>
      <c r="F747" s="8" t="s">
        <v>4146</v>
      </c>
      <c r="G747" s="6" t="s">
        <v>1764</v>
      </c>
      <c r="H747" s="6" t="s">
        <v>38</v>
      </c>
      <c r="I747" s="8"/>
      <c r="J747" s="14">
        <v>0</v>
      </c>
      <c r="K747" s="9">
        <v>912</v>
      </c>
      <c r="L747" s="9">
        <v>2015</v>
      </c>
      <c r="M747" s="8" t="s">
        <v>4147</v>
      </c>
      <c r="N747" s="8" t="s">
        <v>40</v>
      </c>
      <c r="O747" s="8" t="s">
        <v>41</v>
      </c>
      <c r="P747" s="6" t="s">
        <v>2858</v>
      </c>
      <c r="Q747" s="8" t="s">
        <v>43</v>
      </c>
      <c r="R747" s="10"/>
      <c r="S747" s="11"/>
      <c r="T747" s="6"/>
      <c r="U747" s="28" t="str">
        <f>HYPERLINK("https://media.infra-m.ru/0765/0765853/cover/765853.jpg", "Обложка")</f>
        <v>Обложка</v>
      </c>
      <c r="V747" s="12"/>
      <c r="W747" s="8" t="s">
        <v>114</v>
      </c>
      <c r="X747" s="6"/>
      <c r="Y747" s="6"/>
      <c r="Z747" s="6"/>
      <c r="AA747" s="6" t="s">
        <v>302</v>
      </c>
    </row>
    <row r="748" spans="1:27" s="4" customFormat="1" ht="51.95" customHeight="1">
      <c r="A748" s="5">
        <v>0</v>
      </c>
      <c r="B748" s="6" t="s">
        <v>4148</v>
      </c>
      <c r="C748" s="13">
        <v>744</v>
      </c>
      <c r="D748" s="8" t="s">
        <v>4149</v>
      </c>
      <c r="E748" s="8" t="s">
        <v>4150</v>
      </c>
      <c r="F748" s="8" t="s">
        <v>4151</v>
      </c>
      <c r="G748" s="6" t="s">
        <v>51</v>
      </c>
      <c r="H748" s="6" t="s">
        <v>278</v>
      </c>
      <c r="I748" s="8" t="s">
        <v>184</v>
      </c>
      <c r="J748" s="9">
        <v>1</v>
      </c>
      <c r="K748" s="9">
        <v>192</v>
      </c>
      <c r="L748" s="9">
        <v>2019</v>
      </c>
      <c r="M748" s="8" t="s">
        <v>4152</v>
      </c>
      <c r="N748" s="8" t="s">
        <v>40</v>
      </c>
      <c r="O748" s="8" t="s">
        <v>41</v>
      </c>
      <c r="P748" s="6" t="s">
        <v>95</v>
      </c>
      <c r="Q748" s="8" t="s">
        <v>76</v>
      </c>
      <c r="R748" s="10" t="s">
        <v>4153</v>
      </c>
      <c r="S748" s="11" t="s">
        <v>4154</v>
      </c>
      <c r="T748" s="6"/>
      <c r="U748" s="28" t="str">
        <f>HYPERLINK("https://media.infra-m.ru/1008/1008137/cover/1008137.jpg", "Обложка")</f>
        <v>Обложка</v>
      </c>
      <c r="V748" s="28" t="str">
        <f>HYPERLINK("https://znanium.ru/catalog/product/1008137", "Ознакомиться")</f>
        <v>Ознакомиться</v>
      </c>
      <c r="W748" s="8" t="s">
        <v>1603</v>
      </c>
      <c r="X748" s="6"/>
      <c r="Y748" s="6"/>
      <c r="Z748" s="6"/>
      <c r="AA748" s="6" t="s">
        <v>214</v>
      </c>
    </row>
    <row r="749" spans="1:27" s="4" customFormat="1" ht="42" customHeight="1">
      <c r="A749" s="5">
        <v>0</v>
      </c>
      <c r="B749" s="6" t="s">
        <v>4155</v>
      </c>
      <c r="C749" s="7">
        <v>1116</v>
      </c>
      <c r="D749" s="8" t="s">
        <v>4156</v>
      </c>
      <c r="E749" s="8" t="s">
        <v>4157</v>
      </c>
      <c r="F749" s="8" t="s">
        <v>4158</v>
      </c>
      <c r="G749" s="6" t="s">
        <v>58</v>
      </c>
      <c r="H749" s="6" t="s">
        <v>84</v>
      </c>
      <c r="I749" s="8" t="s">
        <v>4159</v>
      </c>
      <c r="J749" s="9">
        <v>1</v>
      </c>
      <c r="K749" s="9">
        <v>196</v>
      </c>
      <c r="L749" s="9">
        <v>2024</v>
      </c>
      <c r="M749" s="8" t="s">
        <v>4160</v>
      </c>
      <c r="N749" s="8" t="s">
        <v>40</v>
      </c>
      <c r="O749" s="8" t="s">
        <v>41</v>
      </c>
      <c r="P749" s="6" t="s">
        <v>75</v>
      </c>
      <c r="Q749" s="8" t="s">
        <v>515</v>
      </c>
      <c r="R749" s="10" t="s">
        <v>4161</v>
      </c>
      <c r="S749" s="11"/>
      <c r="T749" s="6"/>
      <c r="U749" s="28" t="str">
        <f>HYPERLINK("https://media.infra-m.ru/2130/2130282/cover/2130282.jpg", "Обложка")</f>
        <v>Обложка</v>
      </c>
      <c r="V749" s="12"/>
      <c r="W749" s="8" t="s">
        <v>731</v>
      </c>
      <c r="X749" s="6" t="s">
        <v>1758</v>
      </c>
      <c r="Y749" s="6"/>
      <c r="Z749" s="6"/>
      <c r="AA749" s="6" t="s">
        <v>100</v>
      </c>
    </row>
    <row r="750" spans="1:27" s="4" customFormat="1" ht="51.95" customHeight="1">
      <c r="A750" s="5">
        <v>0</v>
      </c>
      <c r="B750" s="6" t="s">
        <v>4162</v>
      </c>
      <c r="C750" s="7">
        <v>1492.8</v>
      </c>
      <c r="D750" s="8" t="s">
        <v>4163</v>
      </c>
      <c r="E750" s="8" t="s">
        <v>4164</v>
      </c>
      <c r="F750" s="8" t="s">
        <v>4165</v>
      </c>
      <c r="G750" s="6" t="s">
        <v>37</v>
      </c>
      <c r="H750" s="6" t="s">
        <v>84</v>
      </c>
      <c r="I750" s="8" t="s">
        <v>93</v>
      </c>
      <c r="J750" s="9">
        <v>1</v>
      </c>
      <c r="K750" s="9">
        <v>269</v>
      </c>
      <c r="L750" s="9">
        <v>2023</v>
      </c>
      <c r="M750" s="8" t="s">
        <v>4166</v>
      </c>
      <c r="N750" s="8" t="s">
        <v>40</v>
      </c>
      <c r="O750" s="8" t="s">
        <v>41</v>
      </c>
      <c r="P750" s="6" t="s">
        <v>75</v>
      </c>
      <c r="Q750" s="8" t="s">
        <v>96</v>
      </c>
      <c r="R750" s="10" t="s">
        <v>135</v>
      </c>
      <c r="S750" s="11" t="s">
        <v>4167</v>
      </c>
      <c r="T750" s="6"/>
      <c r="U750" s="28" t="str">
        <f>HYPERLINK("https://media.infra-m.ru/2115/2115300/cover/2115300.jpg", "Обложка")</f>
        <v>Обложка</v>
      </c>
      <c r="V750" s="28" t="str">
        <f>HYPERLINK("https://znanium.ru/catalog/product/2115299", "Ознакомиться")</f>
        <v>Ознакомиться</v>
      </c>
      <c r="W750" s="8" t="s">
        <v>3644</v>
      </c>
      <c r="X750" s="6"/>
      <c r="Y750" s="6"/>
      <c r="Z750" s="6"/>
      <c r="AA750" s="6" t="s">
        <v>62</v>
      </c>
    </row>
    <row r="751" spans="1:27" s="4" customFormat="1" ht="51.95" customHeight="1">
      <c r="A751" s="5">
        <v>0</v>
      </c>
      <c r="B751" s="6" t="s">
        <v>4168</v>
      </c>
      <c r="C751" s="7">
        <v>1080</v>
      </c>
      <c r="D751" s="8" t="s">
        <v>4169</v>
      </c>
      <c r="E751" s="8" t="s">
        <v>4170</v>
      </c>
      <c r="F751" s="8" t="s">
        <v>4171</v>
      </c>
      <c r="G751" s="6" t="s">
        <v>37</v>
      </c>
      <c r="H751" s="6" t="s">
        <v>84</v>
      </c>
      <c r="I751" s="8" t="s">
        <v>250</v>
      </c>
      <c r="J751" s="9">
        <v>1</v>
      </c>
      <c r="K751" s="9">
        <v>190</v>
      </c>
      <c r="L751" s="9">
        <v>2024</v>
      </c>
      <c r="M751" s="8" t="s">
        <v>4172</v>
      </c>
      <c r="N751" s="8" t="s">
        <v>40</v>
      </c>
      <c r="O751" s="8" t="s">
        <v>41</v>
      </c>
      <c r="P751" s="6" t="s">
        <v>42</v>
      </c>
      <c r="Q751" s="8" t="s">
        <v>43</v>
      </c>
      <c r="R751" s="10" t="s">
        <v>1355</v>
      </c>
      <c r="S751" s="11"/>
      <c r="T751" s="6"/>
      <c r="U751" s="28" t="str">
        <f>HYPERLINK("https://media.infra-m.ru/2083/2083860/cover/2083860.jpg", "Обложка")</f>
        <v>Обложка</v>
      </c>
      <c r="V751" s="28" t="str">
        <f>HYPERLINK("https://znanium.ru/catalog/product/2083860", "Ознакомиться")</f>
        <v>Ознакомиться</v>
      </c>
      <c r="W751" s="8" t="s">
        <v>3737</v>
      </c>
      <c r="X751" s="6"/>
      <c r="Y751" s="6"/>
      <c r="Z751" s="6"/>
      <c r="AA751" s="6" t="s">
        <v>353</v>
      </c>
    </row>
    <row r="752" spans="1:27" s="4" customFormat="1" ht="51.95" customHeight="1">
      <c r="A752" s="5">
        <v>0</v>
      </c>
      <c r="B752" s="6" t="s">
        <v>4173</v>
      </c>
      <c r="C752" s="7">
        <v>1260</v>
      </c>
      <c r="D752" s="8" t="s">
        <v>4174</v>
      </c>
      <c r="E752" s="8" t="s">
        <v>4175</v>
      </c>
      <c r="F752" s="8" t="s">
        <v>3066</v>
      </c>
      <c r="G752" s="6" t="s">
        <v>51</v>
      </c>
      <c r="H752" s="6" t="s">
        <v>38</v>
      </c>
      <c r="I752" s="8"/>
      <c r="J752" s="9">
        <v>1</v>
      </c>
      <c r="K752" s="9">
        <v>224</v>
      </c>
      <c r="L752" s="9">
        <v>2024</v>
      </c>
      <c r="M752" s="8" t="s">
        <v>4176</v>
      </c>
      <c r="N752" s="8" t="s">
        <v>40</v>
      </c>
      <c r="O752" s="8" t="s">
        <v>41</v>
      </c>
      <c r="P752" s="6" t="s">
        <v>75</v>
      </c>
      <c r="Q752" s="8" t="s">
        <v>76</v>
      </c>
      <c r="R752" s="10" t="s">
        <v>591</v>
      </c>
      <c r="S752" s="11" t="s">
        <v>4177</v>
      </c>
      <c r="T752" s="6"/>
      <c r="U752" s="28" t="str">
        <f>HYPERLINK("https://media.infra-m.ru/2141/2141194/cover/2141194.jpg", "Обложка")</f>
        <v>Обложка</v>
      </c>
      <c r="V752" s="28" t="str">
        <f>HYPERLINK("https://znanium.ru/catalog/product/2141194", "Ознакомиться")</f>
        <v>Ознакомиться</v>
      </c>
      <c r="W752" s="8" t="s">
        <v>423</v>
      </c>
      <c r="X752" s="6"/>
      <c r="Y752" s="6"/>
      <c r="Z752" s="6"/>
      <c r="AA752" s="6" t="s">
        <v>431</v>
      </c>
    </row>
    <row r="753" spans="1:27" s="4" customFormat="1" ht="51.95" customHeight="1">
      <c r="A753" s="5">
        <v>0</v>
      </c>
      <c r="B753" s="6" t="s">
        <v>4178</v>
      </c>
      <c r="C753" s="13">
        <v>485.9</v>
      </c>
      <c r="D753" s="8" t="s">
        <v>4179</v>
      </c>
      <c r="E753" s="8" t="s">
        <v>4180</v>
      </c>
      <c r="F753" s="8" t="s">
        <v>4181</v>
      </c>
      <c r="G753" s="6" t="s">
        <v>51</v>
      </c>
      <c r="H753" s="6" t="s">
        <v>84</v>
      </c>
      <c r="I753" s="8" t="s">
        <v>250</v>
      </c>
      <c r="J753" s="9">
        <v>1</v>
      </c>
      <c r="K753" s="9">
        <v>132</v>
      </c>
      <c r="L753" s="9">
        <v>2018</v>
      </c>
      <c r="M753" s="8" t="s">
        <v>4182</v>
      </c>
      <c r="N753" s="8" t="s">
        <v>40</v>
      </c>
      <c r="O753" s="8" t="s">
        <v>41</v>
      </c>
      <c r="P753" s="6" t="s">
        <v>42</v>
      </c>
      <c r="Q753" s="8" t="s">
        <v>43</v>
      </c>
      <c r="R753" s="10" t="s">
        <v>794</v>
      </c>
      <c r="S753" s="11"/>
      <c r="T753" s="6"/>
      <c r="U753" s="28" t="str">
        <f>HYPERLINK("https://media.infra-m.ru/0920/0920518/cover/920518.jpg", "Обложка")</f>
        <v>Обложка</v>
      </c>
      <c r="V753" s="28" t="str">
        <f>HYPERLINK("https://znanium.ru/catalog/product/920518", "Ознакомиться")</f>
        <v>Ознакомиться</v>
      </c>
      <c r="W753" s="8" t="s">
        <v>430</v>
      </c>
      <c r="X753" s="6"/>
      <c r="Y753" s="6"/>
      <c r="Z753" s="6"/>
      <c r="AA753" s="6" t="s">
        <v>424</v>
      </c>
    </row>
    <row r="754" spans="1:27" s="4" customFormat="1" ht="42" customHeight="1">
      <c r="A754" s="5">
        <v>0</v>
      </c>
      <c r="B754" s="6" t="s">
        <v>4183</v>
      </c>
      <c r="C754" s="13">
        <v>953.9</v>
      </c>
      <c r="D754" s="8" t="s">
        <v>4184</v>
      </c>
      <c r="E754" s="8" t="s">
        <v>4185</v>
      </c>
      <c r="F754" s="8" t="s">
        <v>4186</v>
      </c>
      <c r="G754" s="6" t="s">
        <v>58</v>
      </c>
      <c r="H754" s="6" t="s">
        <v>38</v>
      </c>
      <c r="I754" s="8" t="s">
        <v>4187</v>
      </c>
      <c r="J754" s="9">
        <v>1</v>
      </c>
      <c r="K754" s="9">
        <v>176</v>
      </c>
      <c r="L754" s="9">
        <v>2023</v>
      </c>
      <c r="M754" s="8" t="s">
        <v>4188</v>
      </c>
      <c r="N754" s="8" t="s">
        <v>40</v>
      </c>
      <c r="O754" s="8" t="s">
        <v>41</v>
      </c>
      <c r="P754" s="6" t="s">
        <v>42</v>
      </c>
      <c r="Q754" s="8" t="s">
        <v>43</v>
      </c>
      <c r="R754" s="10" t="s">
        <v>932</v>
      </c>
      <c r="S754" s="11"/>
      <c r="T754" s="6"/>
      <c r="U754" s="28" t="str">
        <f>HYPERLINK("https://media.infra-m.ru/1977/1977951/cover/1977951.jpg", "Обложка")</f>
        <v>Обложка</v>
      </c>
      <c r="V754" s="28" t="str">
        <f>HYPERLINK("https://znanium.ru/catalog/product/923654", "Ознакомиться")</f>
        <v>Ознакомиться</v>
      </c>
      <c r="W754" s="8" t="s">
        <v>107</v>
      </c>
      <c r="X754" s="6"/>
      <c r="Y754" s="6"/>
      <c r="Z754" s="6"/>
      <c r="AA754" s="6" t="s">
        <v>557</v>
      </c>
    </row>
    <row r="755" spans="1:27" s="4" customFormat="1" ht="51.95" customHeight="1">
      <c r="A755" s="5">
        <v>0</v>
      </c>
      <c r="B755" s="6" t="s">
        <v>4189</v>
      </c>
      <c r="C755" s="7">
        <v>2916</v>
      </c>
      <c r="D755" s="8" t="s">
        <v>4190</v>
      </c>
      <c r="E755" s="8" t="s">
        <v>4191</v>
      </c>
      <c r="F755" s="8" t="s">
        <v>3131</v>
      </c>
      <c r="G755" s="6" t="s">
        <v>58</v>
      </c>
      <c r="H755" s="6" t="s">
        <v>38</v>
      </c>
      <c r="I755" s="8"/>
      <c r="J755" s="9">
        <v>1</v>
      </c>
      <c r="K755" s="9">
        <v>528</v>
      </c>
      <c r="L755" s="9">
        <v>2024</v>
      </c>
      <c r="M755" s="8" t="s">
        <v>4192</v>
      </c>
      <c r="N755" s="8" t="s">
        <v>40</v>
      </c>
      <c r="O755" s="8" t="s">
        <v>41</v>
      </c>
      <c r="P755" s="6" t="s">
        <v>1166</v>
      </c>
      <c r="Q755" s="8" t="s">
        <v>43</v>
      </c>
      <c r="R755" s="10" t="s">
        <v>60</v>
      </c>
      <c r="S755" s="11"/>
      <c r="T755" s="6"/>
      <c r="U755" s="28" t="str">
        <f>HYPERLINK("https://media.infra-m.ru/2098/2098567/cover/2098567.jpg", "Обложка")</f>
        <v>Обложка</v>
      </c>
      <c r="V755" s="28" t="str">
        <f>HYPERLINK("https://znanium.ru/catalog/product/2098567", "Ознакомиться")</f>
        <v>Ознакомиться</v>
      </c>
      <c r="W755" s="8" t="s">
        <v>1399</v>
      </c>
      <c r="X755" s="6"/>
      <c r="Y755" s="6"/>
      <c r="Z755" s="6"/>
      <c r="AA755" s="6" t="s">
        <v>148</v>
      </c>
    </row>
    <row r="756" spans="1:27" s="4" customFormat="1" ht="51.95" customHeight="1">
      <c r="A756" s="5">
        <v>0</v>
      </c>
      <c r="B756" s="6" t="s">
        <v>4193</v>
      </c>
      <c r="C756" s="7">
        <v>2064</v>
      </c>
      <c r="D756" s="8" t="s">
        <v>4194</v>
      </c>
      <c r="E756" s="8" t="s">
        <v>4195</v>
      </c>
      <c r="F756" s="8" t="s">
        <v>4196</v>
      </c>
      <c r="G756" s="6" t="s">
        <v>37</v>
      </c>
      <c r="H756" s="6" t="s">
        <v>1284</v>
      </c>
      <c r="I756" s="8"/>
      <c r="J756" s="9">
        <v>1</v>
      </c>
      <c r="K756" s="9">
        <v>366</v>
      </c>
      <c r="L756" s="9">
        <v>2024</v>
      </c>
      <c r="M756" s="8" t="s">
        <v>4197</v>
      </c>
      <c r="N756" s="8" t="s">
        <v>40</v>
      </c>
      <c r="O756" s="8" t="s">
        <v>41</v>
      </c>
      <c r="P756" s="6" t="s">
        <v>75</v>
      </c>
      <c r="Q756" s="8" t="s">
        <v>157</v>
      </c>
      <c r="R756" s="10" t="s">
        <v>122</v>
      </c>
      <c r="S756" s="11" t="s">
        <v>4198</v>
      </c>
      <c r="T756" s="6" t="s">
        <v>378</v>
      </c>
      <c r="U756" s="28" t="str">
        <f>HYPERLINK("https://media.infra-m.ru/2136/2136634/cover/2136634.jpg", "Обложка")</f>
        <v>Обложка</v>
      </c>
      <c r="V756" s="28" t="str">
        <f>HYPERLINK("https://znanium.ru/catalog/product/2136634", "Ознакомиться")</f>
        <v>Ознакомиться</v>
      </c>
      <c r="W756" s="8" t="s">
        <v>4199</v>
      </c>
      <c r="X756" s="6"/>
      <c r="Y756" s="6"/>
      <c r="Z756" s="6"/>
      <c r="AA756" s="6" t="s">
        <v>214</v>
      </c>
    </row>
    <row r="757" spans="1:27" s="4" customFormat="1" ht="51.95" customHeight="1">
      <c r="A757" s="5">
        <v>0</v>
      </c>
      <c r="B757" s="6" t="s">
        <v>4200</v>
      </c>
      <c r="C757" s="7">
        <v>1380</v>
      </c>
      <c r="D757" s="8" t="s">
        <v>4201</v>
      </c>
      <c r="E757" s="8" t="s">
        <v>4202</v>
      </c>
      <c r="F757" s="8" t="s">
        <v>4203</v>
      </c>
      <c r="G757" s="6" t="s">
        <v>58</v>
      </c>
      <c r="H757" s="6" t="s">
        <v>52</v>
      </c>
      <c r="I757" s="8" t="s">
        <v>120</v>
      </c>
      <c r="J757" s="9">
        <v>1</v>
      </c>
      <c r="K757" s="9">
        <v>228</v>
      </c>
      <c r="L757" s="9">
        <v>2024</v>
      </c>
      <c r="M757" s="8" t="s">
        <v>4204</v>
      </c>
      <c r="N757" s="8" t="s">
        <v>40</v>
      </c>
      <c r="O757" s="8" t="s">
        <v>41</v>
      </c>
      <c r="P757" s="6" t="s">
        <v>75</v>
      </c>
      <c r="Q757" s="8" t="s">
        <v>515</v>
      </c>
      <c r="R757" s="10" t="s">
        <v>4205</v>
      </c>
      <c r="S757" s="11" t="s">
        <v>4206</v>
      </c>
      <c r="T757" s="6" t="s">
        <v>378</v>
      </c>
      <c r="U757" s="28" t="str">
        <f>HYPERLINK("https://media.infra-m.ru/1913/1913014/cover/1913014.jpg", "Обложка")</f>
        <v>Обложка</v>
      </c>
      <c r="V757" s="28" t="str">
        <f>HYPERLINK("https://znanium.ru/catalog/product/1012997", "Ознакомиться")</f>
        <v>Ознакомиться</v>
      </c>
      <c r="W757" s="8" t="s">
        <v>2784</v>
      </c>
      <c r="X757" s="6" t="s">
        <v>1412</v>
      </c>
      <c r="Y757" s="6"/>
      <c r="Z757" s="6"/>
      <c r="AA757" s="6" t="s">
        <v>2894</v>
      </c>
    </row>
    <row r="758" spans="1:27" s="4" customFormat="1" ht="51.95" customHeight="1">
      <c r="A758" s="5">
        <v>0</v>
      </c>
      <c r="B758" s="6" t="s">
        <v>4207</v>
      </c>
      <c r="C758" s="7">
        <v>1240.8</v>
      </c>
      <c r="D758" s="8" t="s">
        <v>4208</v>
      </c>
      <c r="E758" s="8" t="s">
        <v>4209</v>
      </c>
      <c r="F758" s="8" t="s">
        <v>4203</v>
      </c>
      <c r="G758" s="6" t="s">
        <v>58</v>
      </c>
      <c r="H758" s="6" t="s">
        <v>52</v>
      </c>
      <c r="I758" s="8" t="s">
        <v>2209</v>
      </c>
      <c r="J758" s="9">
        <v>1</v>
      </c>
      <c r="K758" s="9">
        <v>224</v>
      </c>
      <c r="L758" s="9">
        <v>2024</v>
      </c>
      <c r="M758" s="8" t="s">
        <v>4210</v>
      </c>
      <c r="N758" s="8" t="s">
        <v>40</v>
      </c>
      <c r="O758" s="8" t="s">
        <v>41</v>
      </c>
      <c r="P758" s="6" t="s">
        <v>75</v>
      </c>
      <c r="Q758" s="8" t="s">
        <v>76</v>
      </c>
      <c r="R758" s="10" t="s">
        <v>4205</v>
      </c>
      <c r="S758" s="11" t="s">
        <v>4206</v>
      </c>
      <c r="T758" s="6" t="s">
        <v>378</v>
      </c>
      <c r="U758" s="28" t="str">
        <f>HYPERLINK("https://media.infra-m.ru/2091/2091892/cover/2091892.jpg", "Обложка")</f>
        <v>Обложка</v>
      </c>
      <c r="V758" s="28" t="str">
        <f>HYPERLINK("https://znanium.ru/catalog/product/1012997", "Ознакомиться")</f>
        <v>Ознакомиться</v>
      </c>
      <c r="W758" s="8" t="s">
        <v>2784</v>
      </c>
      <c r="X758" s="6"/>
      <c r="Y758" s="6"/>
      <c r="Z758" s="6"/>
      <c r="AA758" s="6" t="s">
        <v>557</v>
      </c>
    </row>
    <row r="759" spans="1:27" s="4" customFormat="1" ht="42" customHeight="1">
      <c r="A759" s="5">
        <v>0</v>
      </c>
      <c r="B759" s="6" t="s">
        <v>4211</v>
      </c>
      <c r="C759" s="7">
        <v>1176</v>
      </c>
      <c r="D759" s="8" t="s">
        <v>4212</v>
      </c>
      <c r="E759" s="8" t="s">
        <v>4213</v>
      </c>
      <c r="F759" s="8" t="s">
        <v>4214</v>
      </c>
      <c r="G759" s="6" t="s">
        <v>58</v>
      </c>
      <c r="H759" s="6" t="s">
        <v>84</v>
      </c>
      <c r="I759" s="8" t="s">
        <v>120</v>
      </c>
      <c r="J759" s="9">
        <v>1</v>
      </c>
      <c r="K759" s="9">
        <v>207</v>
      </c>
      <c r="L759" s="9">
        <v>2024</v>
      </c>
      <c r="M759" s="8" t="s">
        <v>4215</v>
      </c>
      <c r="N759" s="8" t="s">
        <v>40</v>
      </c>
      <c r="O759" s="8" t="s">
        <v>41</v>
      </c>
      <c r="P759" s="6" t="s">
        <v>75</v>
      </c>
      <c r="Q759" s="8" t="s">
        <v>515</v>
      </c>
      <c r="R759" s="10" t="s">
        <v>113</v>
      </c>
      <c r="S759" s="11"/>
      <c r="T759" s="6"/>
      <c r="U759" s="28" t="str">
        <f>HYPERLINK("https://media.infra-m.ru/2038/2038209/cover/2038209.jpg", "Обложка")</f>
        <v>Обложка</v>
      </c>
      <c r="V759" s="28" t="str">
        <f>HYPERLINK("https://znanium.ru/catalog/product/2038209", "Ознакомиться")</f>
        <v>Ознакомиться</v>
      </c>
      <c r="W759" s="8" t="s">
        <v>114</v>
      </c>
      <c r="X759" s="6" t="s">
        <v>3280</v>
      </c>
      <c r="Y759" s="6"/>
      <c r="Z759" s="6"/>
      <c r="AA759" s="6" t="s">
        <v>100</v>
      </c>
    </row>
    <row r="760" spans="1:27" s="4" customFormat="1" ht="44.1" customHeight="1">
      <c r="A760" s="5">
        <v>0</v>
      </c>
      <c r="B760" s="6" t="s">
        <v>4216</v>
      </c>
      <c r="C760" s="13">
        <v>773.9</v>
      </c>
      <c r="D760" s="8" t="s">
        <v>4217</v>
      </c>
      <c r="E760" s="8" t="s">
        <v>4218</v>
      </c>
      <c r="F760" s="8" t="s">
        <v>4219</v>
      </c>
      <c r="G760" s="6" t="s">
        <v>51</v>
      </c>
      <c r="H760" s="6" t="s">
        <v>38</v>
      </c>
      <c r="I760" s="8"/>
      <c r="J760" s="9">
        <v>40</v>
      </c>
      <c r="K760" s="9">
        <v>224</v>
      </c>
      <c r="L760" s="9">
        <v>2019</v>
      </c>
      <c r="M760" s="8" t="s">
        <v>4220</v>
      </c>
      <c r="N760" s="8" t="s">
        <v>40</v>
      </c>
      <c r="O760" s="8" t="s">
        <v>41</v>
      </c>
      <c r="P760" s="6" t="s">
        <v>42</v>
      </c>
      <c r="Q760" s="8" t="s">
        <v>43</v>
      </c>
      <c r="R760" s="10" t="s">
        <v>308</v>
      </c>
      <c r="S760" s="11"/>
      <c r="T760" s="6"/>
      <c r="U760" s="28" t="str">
        <f>HYPERLINK("https://media.infra-m.ru/1008/1008025/cover/1008025.jpg", "Обложка")</f>
        <v>Обложка</v>
      </c>
      <c r="V760" s="28" t="str">
        <f>HYPERLINK("https://znanium.ru/catalog/product/1008025", "Ознакомиться")</f>
        <v>Ознакомиться</v>
      </c>
      <c r="W760" s="8" t="s">
        <v>114</v>
      </c>
      <c r="X760" s="6"/>
      <c r="Y760" s="6"/>
      <c r="Z760" s="6"/>
      <c r="AA760" s="6" t="s">
        <v>293</v>
      </c>
    </row>
    <row r="761" spans="1:27" s="4" customFormat="1" ht="51.95" customHeight="1">
      <c r="A761" s="5">
        <v>0</v>
      </c>
      <c r="B761" s="6" t="s">
        <v>4221</v>
      </c>
      <c r="C761" s="7">
        <v>1428</v>
      </c>
      <c r="D761" s="8" t="s">
        <v>4222</v>
      </c>
      <c r="E761" s="8" t="s">
        <v>4223</v>
      </c>
      <c r="F761" s="8" t="s">
        <v>4224</v>
      </c>
      <c r="G761" s="6" t="s">
        <v>58</v>
      </c>
      <c r="H761" s="6" t="s">
        <v>84</v>
      </c>
      <c r="I761" s="8" t="s">
        <v>93</v>
      </c>
      <c r="J761" s="9">
        <v>1</v>
      </c>
      <c r="K761" s="9">
        <v>264</v>
      </c>
      <c r="L761" s="9">
        <v>2023</v>
      </c>
      <c r="M761" s="8" t="s">
        <v>4225</v>
      </c>
      <c r="N761" s="8" t="s">
        <v>40</v>
      </c>
      <c r="O761" s="8" t="s">
        <v>41</v>
      </c>
      <c r="P761" s="6" t="s">
        <v>75</v>
      </c>
      <c r="Q761" s="8" t="s">
        <v>96</v>
      </c>
      <c r="R761" s="10" t="s">
        <v>4226</v>
      </c>
      <c r="S761" s="11" t="s">
        <v>4227</v>
      </c>
      <c r="T761" s="6"/>
      <c r="U761" s="28" t="str">
        <f>HYPERLINK("https://media.infra-m.ru/1837/1837052/cover/1837052.jpg", "Обложка")</f>
        <v>Обложка</v>
      </c>
      <c r="V761" s="28" t="str">
        <f>HYPERLINK("https://znanium.ru/catalog/product/1837052", "Ознакомиться")</f>
        <v>Ознакомиться</v>
      </c>
      <c r="W761" s="8" t="s">
        <v>3245</v>
      </c>
      <c r="X761" s="6"/>
      <c r="Y761" s="6"/>
      <c r="Z761" s="6"/>
      <c r="AA761" s="6" t="s">
        <v>417</v>
      </c>
    </row>
    <row r="762" spans="1:27" s="4" customFormat="1" ht="42" customHeight="1">
      <c r="A762" s="5">
        <v>0</v>
      </c>
      <c r="B762" s="6" t="s">
        <v>4228</v>
      </c>
      <c r="C762" s="7">
        <v>1660.8</v>
      </c>
      <c r="D762" s="8" t="s">
        <v>4229</v>
      </c>
      <c r="E762" s="8" t="s">
        <v>4230</v>
      </c>
      <c r="F762" s="8" t="s">
        <v>4231</v>
      </c>
      <c r="G762" s="6" t="s">
        <v>58</v>
      </c>
      <c r="H762" s="6" t="s">
        <v>52</v>
      </c>
      <c r="I762" s="8" t="s">
        <v>515</v>
      </c>
      <c r="J762" s="9">
        <v>1</v>
      </c>
      <c r="K762" s="9">
        <v>308</v>
      </c>
      <c r="L762" s="9">
        <v>2023</v>
      </c>
      <c r="M762" s="8" t="s">
        <v>4232</v>
      </c>
      <c r="N762" s="8" t="s">
        <v>40</v>
      </c>
      <c r="O762" s="8" t="s">
        <v>41</v>
      </c>
      <c r="P762" s="6" t="s">
        <v>95</v>
      </c>
      <c r="Q762" s="8" t="s">
        <v>96</v>
      </c>
      <c r="R762" s="10" t="s">
        <v>4233</v>
      </c>
      <c r="S762" s="11"/>
      <c r="T762" s="6" t="s">
        <v>378</v>
      </c>
      <c r="U762" s="28" t="str">
        <f>HYPERLINK("https://media.infra-m.ru/1998/1998960/cover/1998960.jpg", "Обложка")</f>
        <v>Обложка</v>
      </c>
      <c r="V762" s="28" t="str">
        <f>HYPERLINK("https://znanium.ru/catalog/product/1081936", "Ознакомиться")</f>
        <v>Ознакомиться</v>
      </c>
      <c r="W762" s="8" t="s">
        <v>2421</v>
      </c>
      <c r="X762" s="6"/>
      <c r="Y762" s="6"/>
      <c r="Z762" s="6"/>
      <c r="AA762" s="6" t="s">
        <v>302</v>
      </c>
    </row>
    <row r="763" spans="1:27" s="4" customFormat="1" ht="51.95" customHeight="1">
      <c r="A763" s="5">
        <v>0</v>
      </c>
      <c r="B763" s="6" t="s">
        <v>4234</v>
      </c>
      <c r="C763" s="7">
        <v>2632.8</v>
      </c>
      <c r="D763" s="8" t="s">
        <v>4235</v>
      </c>
      <c r="E763" s="8" t="s">
        <v>4230</v>
      </c>
      <c r="F763" s="8" t="s">
        <v>4236</v>
      </c>
      <c r="G763" s="6" t="s">
        <v>58</v>
      </c>
      <c r="H763" s="6" t="s">
        <v>38</v>
      </c>
      <c r="I763" s="8"/>
      <c r="J763" s="9">
        <v>1</v>
      </c>
      <c r="K763" s="9">
        <v>480</v>
      </c>
      <c r="L763" s="9">
        <v>2023</v>
      </c>
      <c r="M763" s="8" t="s">
        <v>4237</v>
      </c>
      <c r="N763" s="8" t="s">
        <v>40</v>
      </c>
      <c r="O763" s="8" t="s">
        <v>41</v>
      </c>
      <c r="P763" s="6" t="s">
        <v>95</v>
      </c>
      <c r="Q763" s="8" t="s">
        <v>76</v>
      </c>
      <c r="R763" s="10" t="s">
        <v>4238</v>
      </c>
      <c r="S763" s="11"/>
      <c r="T763" s="6"/>
      <c r="U763" s="28" t="str">
        <f>HYPERLINK("https://media.infra-m.ru/2043/2043261/cover/2043261.jpg", "Обложка")</f>
        <v>Обложка</v>
      </c>
      <c r="V763" s="28" t="str">
        <f>HYPERLINK("https://znanium.ru/catalog/product/2043261", "Ознакомиться")</f>
        <v>Ознакомиться</v>
      </c>
      <c r="W763" s="8" t="s">
        <v>1393</v>
      </c>
      <c r="X763" s="6"/>
      <c r="Y763" s="6"/>
      <c r="Z763" s="6"/>
      <c r="AA763" s="6" t="s">
        <v>302</v>
      </c>
    </row>
    <row r="764" spans="1:27" s="4" customFormat="1" ht="51.95" customHeight="1">
      <c r="A764" s="5">
        <v>0</v>
      </c>
      <c r="B764" s="6" t="s">
        <v>4239</v>
      </c>
      <c r="C764" s="7">
        <v>2212.8000000000002</v>
      </c>
      <c r="D764" s="8" t="s">
        <v>4240</v>
      </c>
      <c r="E764" s="8" t="s">
        <v>4241</v>
      </c>
      <c r="F764" s="8" t="s">
        <v>4242</v>
      </c>
      <c r="G764" s="6" t="s">
        <v>58</v>
      </c>
      <c r="H764" s="6" t="s">
        <v>436</v>
      </c>
      <c r="I764" s="8"/>
      <c r="J764" s="9">
        <v>1</v>
      </c>
      <c r="K764" s="9">
        <v>400</v>
      </c>
      <c r="L764" s="9">
        <v>2023</v>
      </c>
      <c r="M764" s="8" t="s">
        <v>4243</v>
      </c>
      <c r="N764" s="8" t="s">
        <v>40</v>
      </c>
      <c r="O764" s="8" t="s">
        <v>41</v>
      </c>
      <c r="P764" s="6" t="s">
        <v>95</v>
      </c>
      <c r="Q764" s="8" t="s">
        <v>96</v>
      </c>
      <c r="R764" s="10" t="s">
        <v>4244</v>
      </c>
      <c r="S764" s="11" t="s">
        <v>4245</v>
      </c>
      <c r="T764" s="6"/>
      <c r="U764" s="28" t="str">
        <f>HYPERLINK("https://media.infra-m.ru/1891/1891842/cover/1891842.jpg", "Обложка")</f>
        <v>Обложка</v>
      </c>
      <c r="V764" s="28" t="str">
        <f>HYPERLINK("https://znanium.ru/catalog/product/1032055", "Ознакомиться")</f>
        <v>Ознакомиться</v>
      </c>
      <c r="W764" s="8" t="s">
        <v>3991</v>
      </c>
      <c r="X764" s="6"/>
      <c r="Y764" s="6"/>
      <c r="Z764" s="6"/>
      <c r="AA764" s="6" t="s">
        <v>758</v>
      </c>
    </row>
    <row r="765" spans="1:27" s="4" customFormat="1" ht="51.95" customHeight="1">
      <c r="A765" s="5">
        <v>0</v>
      </c>
      <c r="B765" s="6" t="s">
        <v>4246</v>
      </c>
      <c r="C765" s="7">
        <v>1253.9000000000001</v>
      </c>
      <c r="D765" s="8" t="s">
        <v>4247</v>
      </c>
      <c r="E765" s="8" t="s">
        <v>4248</v>
      </c>
      <c r="F765" s="8" t="s">
        <v>1746</v>
      </c>
      <c r="G765" s="6" t="s">
        <v>51</v>
      </c>
      <c r="H765" s="6" t="s">
        <v>52</v>
      </c>
      <c r="I765" s="8" t="s">
        <v>250</v>
      </c>
      <c r="J765" s="9">
        <v>1</v>
      </c>
      <c r="K765" s="9">
        <v>268</v>
      </c>
      <c r="L765" s="9">
        <v>2022</v>
      </c>
      <c r="M765" s="8" t="s">
        <v>4249</v>
      </c>
      <c r="N765" s="8" t="s">
        <v>40</v>
      </c>
      <c r="O765" s="8" t="s">
        <v>41</v>
      </c>
      <c r="P765" s="6" t="s">
        <v>42</v>
      </c>
      <c r="Q765" s="8" t="s">
        <v>43</v>
      </c>
      <c r="R765" s="10" t="s">
        <v>4250</v>
      </c>
      <c r="S765" s="11"/>
      <c r="T765" s="6"/>
      <c r="U765" s="28" t="str">
        <f>HYPERLINK("https://media.infra-m.ru/1859/1859602/cover/1859602.jpg", "Обложка")</f>
        <v>Обложка</v>
      </c>
      <c r="V765" s="28" t="str">
        <f>HYPERLINK("https://znanium.ru/catalog/product/2142669", "Ознакомиться")</f>
        <v>Ознакомиться</v>
      </c>
      <c r="W765" s="8" t="s">
        <v>933</v>
      </c>
      <c r="X765" s="6"/>
      <c r="Y765" s="6"/>
      <c r="Z765" s="6"/>
      <c r="AA765" s="6" t="s">
        <v>431</v>
      </c>
    </row>
    <row r="766" spans="1:27" s="4" customFormat="1" ht="51.95" customHeight="1">
      <c r="A766" s="5">
        <v>0</v>
      </c>
      <c r="B766" s="6" t="s">
        <v>4251</v>
      </c>
      <c r="C766" s="7">
        <v>1620</v>
      </c>
      <c r="D766" s="8" t="s">
        <v>4252</v>
      </c>
      <c r="E766" s="8" t="s">
        <v>4253</v>
      </c>
      <c r="F766" s="8" t="s">
        <v>1746</v>
      </c>
      <c r="G766" s="6" t="s">
        <v>51</v>
      </c>
      <c r="H766" s="6" t="s">
        <v>52</v>
      </c>
      <c r="I766" s="8" t="s">
        <v>250</v>
      </c>
      <c r="J766" s="14">
        <v>0</v>
      </c>
      <c r="K766" s="9">
        <v>287</v>
      </c>
      <c r="L766" s="9">
        <v>2024</v>
      </c>
      <c r="M766" s="8" t="s">
        <v>4254</v>
      </c>
      <c r="N766" s="8" t="s">
        <v>40</v>
      </c>
      <c r="O766" s="8" t="s">
        <v>41</v>
      </c>
      <c r="P766" s="6" t="s">
        <v>42</v>
      </c>
      <c r="Q766" s="8" t="s">
        <v>515</v>
      </c>
      <c r="R766" s="10" t="s">
        <v>4250</v>
      </c>
      <c r="S766" s="11"/>
      <c r="T766" s="6"/>
      <c r="U766" s="28" t="str">
        <f>HYPERLINK("https://media.infra-m.ru/2142/2142669/cover/2142669.jpg", "Обложка")</f>
        <v>Обложка</v>
      </c>
      <c r="V766" s="28" t="str">
        <f>HYPERLINK("https://znanium.ru/catalog/product/2142669", "Ознакомиться")</f>
        <v>Ознакомиться</v>
      </c>
      <c r="W766" s="8" t="s">
        <v>933</v>
      </c>
      <c r="X766" s="6" t="s">
        <v>1412</v>
      </c>
      <c r="Y766" s="6"/>
      <c r="Z766" s="6"/>
      <c r="AA766" s="6" t="s">
        <v>392</v>
      </c>
    </row>
    <row r="767" spans="1:27" s="4" customFormat="1" ht="51.95" customHeight="1">
      <c r="A767" s="5">
        <v>0</v>
      </c>
      <c r="B767" s="6" t="s">
        <v>4255</v>
      </c>
      <c r="C767" s="13">
        <v>923.9</v>
      </c>
      <c r="D767" s="8" t="s">
        <v>4256</v>
      </c>
      <c r="E767" s="8" t="s">
        <v>4257</v>
      </c>
      <c r="F767" s="8" t="s">
        <v>4258</v>
      </c>
      <c r="G767" s="6" t="s">
        <v>51</v>
      </c>
      <c r="H767" s="6" t="s">
        <v>52</v>
      </c>
      <c r="I767" s="8" t="s">
        <v>320</v>
      </c>
      <c r="J767" s="9">
        <v>1</v>
      </c>
      <c r="K767" s="9">
        <v>170</v>
      </c>
      <c r="L767" s="9">
        <v>2023</v>
      </c>
      <c r="M767" s="8" t="s">
        <v>4259</v>
      </c>
      <c r="N767" s="8" t="s">
        <v>40</v>
      </c>
      <c r="O767" s="8" t="s">
        <v>41</v>
      </c>
      <c r="P767" s="6" t="s">
        <v>75</v>
      </c>
      <c r="Q767" s="8" t="s">
        <v>157</v>
      </c>
      <c r="R767" s="10" t="s">
        <v>122</v>
      </c>
      <c r="S767" s="11" t="s">
        <v>4260</v>
      </c>
      <c r="T767" s="6"/>
      <c r="U767" s="28" t="str">
        <f>HYPERLINK("https://media.infra-m.ru/1891/1891536/cover/1891536.jpg", "Обложка")</f>
        <v>Обложка</v>
      </c>
      <c r="V767" s="28" t="str">
        <f>HYPERLINK("https://znanium.ru/catalog/product/1891536", "Ознакомиться")</f>
        <v>Ознакомиться</v>
      </c>
      <c r="W767" s="8" t="s">
        <v>78</v>
      </c>
      <c r="X767" s="6"/>
      <c r="Y767" s="6"/>
      <c r="Z767" s="6"/>
      <c r="AA767" s="6" t="s">
        <v>2490</v>
      </c>
    </row>
    <row r="768" spans="1:27" s="4" customFormat="1" ht="42" customHeight="1">
      <c r="A768" s="5">
        <v>0</v>
      </c>
      <c r="B768" s="6" t="s">
        <v>4261</v>
      </c>
      <c r="C768" s="7">
        <v>1644</v>
      </c>
      <c r="D768" s="8" t="s">
        <v>4262</v>
      </c>
      <c r="E768" s="8" t="s">
        <v>4263</v>
      </c>
      <c r="F768" s="8" t="s">
        <v>4264</v>
      </c>
      <c r="G768" s="6" t="s">
        <v>37</v>
      </c>
      <c r="H768" s="6" t="s">
        <v>38</v>
      </c>
      <c r="I768" s="8"/>
      <c r="J768" s="9">
        <v>1</v>
      </c>
      <c r="K768" s="9">
        <v>296</v>
      </c>
      <c r="L768" s="9">
        <v>2024</v>
      </c>
      <c r="M768" s="8" t="s">
        <v>4265</v>
      </c>
      <c r="N768" s="8" t="s">
        <v>40</v>
      </c>
      <c r="O768" s="8" t="s">
        <v>41</v>
      </c>
      <c r="P768" s="6" t="s">
        <v>75</v>
      </c>
      <c r="Q768" s="8" t="s">
        <v>515</v>
      </c>
      <c r="R768" s="10" t="s">
        <v>113</v>
      </c>
      <c r="S768" s="11"/>
      <c r="T768" s="6"/>
      <c r="U768" s="28" t="str">
        <f>HYPERLINK("https://media.infra-m.ru/2121/2121210/cover/2121210.jpg", "Обложка")</f>
        <v>Обложка</v>
      </c>
      <c r="V768" s="28" t="str">
        <f>HYPERLINK("https://znanium.ru/catalog/product/2018256", "Ознакомиться")</f>
        <v>Ознакомиться</v>
      </c>
      <c r="W768" s="8"/>
      <c r="X768" s="6"/>
      <c r="Y768" s="6"/>
      <c r="Z768" s="6"/>
      <c r="AA768" s="6" t="s">
        <v>353</v>
      </c>
    </row>
    <row r="769" spans="1:27" s="4" customFormat="1" ht="51.95" customHeight="1">
      <c r="A769" s="5">
        <v>0</v>
      </c>
      <c r="B769" s="6" t="s">
        <v>4266</v>
      </c>
      <c r="C769" s="7">
        <v>1224</v>
      </c>
      <c r="D769" s="8" t="s">
        <v>4267</v>
      </c>
      <c r="E769" s="8" t="s">
        <v>4268</v>
      </c>
      <c r="F769" s="8" t="s">
        <v>4269</v>
      </c>
      <c r="G769" s="6" t="s">
        <v>51</v>
      </c>
      <c r="H769" s="6" t="s">
        <v>84</v>
      </c>
      <c r="I769" s="8" t="s">
        <v>250</v>
      </c>
      <c r="J769" s="9">
        <v>1</v>
      </c>
      <c r="K769" s="9">
        <v>222</v>
      </c>
      <c r="L769" s="9">
        <v>2023</v>
      </c>
      <c r="M769" s="8" t="s">
        <v>4270</v>
      </c>
      <c r="N769" s="8" t="s">
        <v>40</v>
      </c>
      <c r="O769" s="8" t="s">
        <v>41</v>
      </c>
      <c r="P769" s="6" t="s">
        <v>42</v>
      </c>
      <c r="Q769" s="8" t="s">
        <v>43</v>
      </c>
      <c r="R769" s="10" t="s">
        <v>617</v>
      </c>
      <c r="S769" s="11"/>
      <c r="T769" s="6"/>
      <c r="U769" s="28" t="str">
        <f>HYPERLINK("https://media.infra-m.ru/1993/1993672/cover/1993672.jpg", "Обложка")</f>
        <v>Обложка</v>
      </c>
      <c r="V769" s="28" t="str">
        <f>HYPERLINK("https://znanium.ru/catalog/product/1993672", "Ознакомиться")</f>
        <v>Ознакомиться</v>
      </c>
      <c r="W769" s="8" t="s">
        <v>4271</v>
      </c>
      <c r="X769" s="6"/>
      <c r="Y769" s="6"/>
      <c r="Z769" s="6"/>
      <c r="AA769" s="6" t="s">
        <v>62</v>
      </c>
    </row>
    <row r="770" spans="1:27" s="4" customFormat="1" ht="42" customHeight="1">
      <c r="A770" s="5">
        <v>0</v>
      </c>
      <c r="B770" s="6" t="s">
        <v>4272</v>
      </c>
      <c r="C770" s="7">
        <v>3244.8</v>
      </c>
      <c r="D770" s="8" t="s">
        <v>4273</v>
      </c>
      <c r="E770" s="8" t="s">
        <v>4274</v>
      </c>
      <c r="F770" s="8" t="s">
        <v>4275</v>
      </c>
      <c r="G770" s="6" t="s">
        <v>37</v>
      </c>
      <c r="H770" s="6" t="s">
        <v>84</v>
      </c>
      <c r="I770" s="8" t="s">
        <v>250</v>
      </c>
      <c r="J770" s="9">
        <v>1</v>
      </c>
      <c r="K770" s="9">
        <v>574</v>
      </c>
      <c r="L770" s="9">
        <v>2024</v>
      </c>
      <c r="M770" s="8" t="s">
        <v>4276</v>
      </c>
      <c r="N770" s="8" t="s">
        <v>40</v>
      </c>
      <c r="O770" s="8" t="s">
        <v>41</v>
      </c>
      <c r="P770" s="6" t="s">
        <v>42</v>
      </c>
      <c r="Q770" s="8" t="s">
        <v>43</v>
      </c>
      <c r="R770" s="10" t="s">
        <v>971</v>
      </c>
      <c r="S770" s="11"/>
      <c r="T770" s="6"/>
      <c r="U770" s="28" t="str">
        <f>HYPERLINK("https://media.infra-m.ru/2142/2142668/cover/2142668.jpg", "Обложка")</f>
        <v>Обложка</v>
      </c>
      <c r="V770" s="28" t="str">
        <f>HYPERLINK("https://znanium.ru/catalog/product/1230614", "Ознакомиться")</f>
        <v>Ознакомиться</v>
      </c>
      <c r="W770" s="8" t="s">
        <v>107</v>
      </c>
      <c r="X770" s="6"/>
      <c r="Y770" s="6"/>
      <c r="Z770" s="6"/>
      <c r="AA770" s="6" t="s">
        <v>293</v>
      </c>
    </row>
    <row r="771" spans="1:27" s="4" customFormat="1" ht="51.95" customHeight="1">
      <c r="A771" s="5">
        <v>0</v>
      </c>
      <c r="B771" s="6" t="s">
        <v>4277</v>
      </c>
      <c r="C771" s="7">
        <v>3240</v>
      </c>
      <c r="D771" s="8" t="s">
        <v>4278</v>
      </c>
      <c r="E771" s="8" t="s">
        <v>4279</v>
      </c>
      <c r="F771" s="8" t="s">
        <v>4280</v>
      </c>
      <c r="G771" s="6" t="s">
        <v>58</v>
      </c>
      <c r="H771" s="6" t="s">
        <v>38</v>
      </c>
      <c r="I771" s="8"/>
      <c r="J771" s="9">
        <v>1</v>
      </c>
      <c r="K771" s="9">
        <v>592</v>
      </c>
      <c r="L771" s="9">
        <v>2024</v>
      </c>
      <c r="M771" s="8" t="s">
        <v>4281</v>
      </c>
      <c r="N771" s="8" t="s">
        <v>40</v>
      </c>
      <c r="O771" s="8" t="s">
        <v>41</v>
      </c>
      <c r="P771" s="6" t="s">
        <v>75</v>
      </c>
      <c r="Q771" s="8" t="s">
        <v>76</v>
      </c>
      <c r="R771" s="10" t="s">
        <v>234</v>
      </c>
      <c r="S771" s="11"/>
      <c r="T771" s="6"/>
      <c r="U771" s="28" t="str">
        <f>HYPERLINK("https://media.infra-m.ru/2124/2124748/cover/2124748.jpg", "Обложка")</f>
        <v>Обложка</v>
      </c>
      <c r="V771" s="28" t="str">
        <f>HYPERLINK("https://znanium.ru/catalog/product/2124748", "Ознакомиться")</f>
        <v>Ознакомиться</v>
      </c>
      <c r="W771" s="8" t="s">
        <v>731</v>
      </c>
      <c r="X771" s="6"/>
      <c r="Y771" s="6"/>
      <c r="Z771" s="6"/>
      <c r="AA771" s="6" t="s">
        <v>3034</v>
      </c>
    </row>
    <row r="772" spans="1:27" s="4" customFormat="1" ht="51.95" customHeight="1">
      <c r="A772" s="5">
        <v>0</v>
      </c>
      <c r="B772" s="6" t="s">
        <v>4282</v>
      </c>
      <c r="C772" s="7">
        <v>1361.3</v>
      </c>
      <c r="D772" s="8" t="s">
        <v>4283</v>
      </c>
      <c r="E772" s="8" t="s">
        <v>4284</v>
      </c>
      <c r="F772" s="8" t="s">
        <v>4285</v>
      </c>
      <c r="G772" s="6" t="s">
        <v>51</v>
      </c>
      <c r="H772" s="6" t="s">
        <v>38</v>
      </c>
      <c r="I772" s="8"/>
      <c r="J772" s="9">
        <v>1</v>
      </c>
      <c r="K772" s="9">
        <v>240</v>
      </c>
      <c r="L772" s="9">
        <v>2024</v>
      </c>
      <c r="M772" s="8" t="s">
        <v>4286</v>
      </c>
      <c r="N772" s="8" t="s">
        <v>40</v>
      </c>
      <c r="O772" s="8" t="s">
        <v>41</v>
      </c>
      <c r="P772" s="6" t="s">
        <v>75</v>
      </c>
      <c r="Q772" s="8" t="s">
        <v>76</v>
      </c>
      <c r="R772" s="10" t="s">
        <v>1615</v>
      </c>
      <c r="S772" s="11" t="s">
        <v>4287</v>
      </c>
      <c r="T772" s="6"/>
      <c r="U772" s="12"/>
      <c r="V772" s="28" t="str">
        <f>HYPERLINK("https://znanium.ru/catalog/product/978519", "Ознакомиться")</f>
        <v>Ознакомиться</v>
      </c>
      <c r="W772" s="8" t="s">
        <v>4288</v>
      </c>
      <c r="X772" s="6"/>
      <c r="Y772" s="6"/>
      <c r="Z772" s="6"/>
      <c r="AA772" s="6" t="s">
        <v>3349</v>
      </c>
    </row>
    <row r="773" spans="1:27" s="4" customFormat="1" ht="51.95" customHeight="1">
      <c r="A773" s="5">
        <v>0</v>
      </c>
      <c r="B773" s="6" t="s">
        <v>4289</v>
      </c>
      <c r="C773" s="7">
        <v>1596</v>
      </c>
      <c r="D773" s="8" t="s">
        <v>4290</v>
      </c>
      <c r="E773" s="8" t="s">
        <v>4291</v>
      </c>
      <c r="F773" s="8" t="s">
        <v>4292</v>
      </c>
      <c r="G773" s="6" t="s">
        <v>37</v>
      </c>
      <c r="H773" s="6" t="s">
        <v>84</v>
      </c>
      <c r="I773" s="8" t="s">
        <v>93</v>
      </c>
      <c r="J773" s="9">
        <v>1</v>
      </c>
      <c r="K773" s="9">
        <v>213</v>
      </c>
      <c r="L773" s="9">
        <v>2024</v>
      </c>
      <c r="M773" s="8" t="s">
        <v>4293</v>
      </c>
      <c r="N773" s="8" t="s">
        <v>40</v>
      </c>
      <c r="O773" s="8" t="s">
        <v>41</v>
      </c>
      <c r="P773" s="6" t="s">
        <v>95</v>
      </c>
      <c r="Q773" s="8" t="s">
        <v>96</v>
      </c>
      <c r="R773" s="10" t="s">
        <v>3046</v>
      </c>
      <c r="S773" s="11" t="s">
        <v>4294</v>
      </c>
      <c r="T773" s="6"/>
      <c r="U773" s="28" t="str">
        <f>HYPERLINK("https://media.infra-m.ru/2145/2145958/cover/2145958.jpg", "Обложка")</f>
        <v>Обложка</v>
      </c>
      <c r="V773" s="28" t="str">
        <f>HYPERLINK("https://znanium.ru/catalog/product/2145958", "Ознакомиться")</f>
        <v>Ознакомиться</v>
      </c>
      <c r="W773" s="8" t="s">
        <v>4295</v>
      </c>
      <c r="X773" s="6"/>
      <c r="Y773" s="6"/>
      <c r="Z773" s="6"/>
      <c r="AA773" s="6" t="s">
        <v>417</v>
      </c>
    </row>
    <row r="774" spans="1:27" s="4" customFormat="1" ht="51.95" customHeight="1">
      <c r="A774" s="5">
        <v>0</v>
      </c>
      <c r="B774" s="6" t="s">
        <v>4296</v>
      </c>
      <c r="C774" s="7">
        <v>2428.8000000000002</v>
      </c>
      <c r="D774" s="8" t="s">
        <v>4297</v>
      </c>
      <c r="E774" s="8" t="s">
        <v>4298</v>
      </c>
      <c r="F774" s="8" t="s">
        <v>4299</v>
      </c>
      <c r="G774" s="6" t="s">
        <v>58</v>
      </c>
      <c r="H774" s="6" t="s">
        <v>38</v>
      </c>
      <c r="I774" s="8"/>
      <c r="J774" s="9">
        <v>1</v>
      </c>
      <c r="K774" s="9">
        <v>448</v>
      </c>
      <c r="L774" s="9">
        <v>2024</v>
      </c>
      <c r="M774" s="8" t="s">
        <v>4300</v>
      </c>
      <c r="N774" s="8" t="s">
        <v>40</v>
      </c>
      <c r="O774" s="8" t="s">
        <v>41</v>
      </c>
      <c r="P774" s="6" t="s">
        <v>95</v>
      </c>
      <c r="Q774" s="8" t="s">
        <v>76</v>
      </c>
      <c r="R774" s="10" t="s">
        <v>591</v>
      </c>
      <c r="S774" s="11"/>
      <c r="T774" s="6"/>
      <c r="U774" s="28" t="str">
        <f>HYPERLINK("https://media.infra-m.ru/2044/2044252/cover/2044252.jpg", "Обложка")</f>
        <v>Обложка</v>
      </c>
      <c r="V774" s="28" t="str">
        <f>HYPERLINK("https://znanium.ru/catalog/product/1850696", "Ознакомиться")</f>
        <v>Ознакомиться</v>
      </c>
      <c r="W774" s="8" t="s">
        <v>114</v>
      </c>
      <c r="X774" s="6"/>
      <c r="Y774" s="6"/>
      <c r="Z774" s="6"/>
      <c r="AA774" s="6" t="s">
        <v>750</v>
      </c>
    </row>
    <row r="775" spans="1:27" s="4" customFormat="1" ht="44.1" customHeight="1">
      <c r="A775" s="5">
        <v>0</v>
      </c>
      <c r="B775" s="6" t="s">
        <v>4301</v>
      </c>
      <c r="C775" s="13">
        <v>972</v>
      </c>
      <c r="D775" s="8" t="s">
        <v>4302</v>
      </c>
      <c r="E775" s="8" t="s">
        <v>4303</v>
      </c>
      <c r="F775" s="8" t="s">
        <v>4304</v>
      </c>
      <c r="G775" s="6" t="s">
        <v>37</v>
      </c>
      <c r="H775" s="6" t="s">
        <v>38</v>
      </c>
      <c r="I775" s="8"/>
      <c r="J775" s="9">
        <v>1</v>
      </c>
      <c r="K775" s="9">
        <v>152</v>
      </c>
      <c r="L775" s="9">
        <v>2024</v>
      </c>
      <c r="M775" s="8" t="s">
        <v>4305</v>
      </c>
      <c r="N775" s="8" t="s">
        <v>40</v>
      </c>
      <c r="O775" s="8" t="s">
        <v>41</v>
      </c>
      <c r="P775" s="6" t="s">
        <v>75</v>
      </c>
      <c r="Q775" s="8" t="s">
        <v>76</v>
      </c>
      <c r="R775" s="10" t="s">
        <v>2085</v>
      </c>
      <c r="S775" s="11"/>
      <c r="T775" s="6"/>
      <c r="U775" s="28" t="str">
        <f>HYPERLINK("https://media.infra-m.ru/2132/2132304/cover/2132304.jpg", "Обложка")</f>
        <v>Обложка</v>
      </c>
      <c r="V775" s="28" t="str">
        <f>HYPERLINK("https://znanium.ru/catalog/product/1845291", "Ознакомиться")</f>
        <v>Ознакомиться</v>
      </c>
      <c r="W775" s="8" t="s">
        <v>3737</v>
      </c>
      <c r="X775" s="6"/>
      <c r="Y775" s="6"/>
      <c r="Z775" s="6"/>
      <c r="AA775" s="6" t="s">
        <v>353</v>
      </c>
    </row>
    <row r="776" spans="1:27" s="4" customFormat="1" ht="42" customHeight="1">
      <c r="A776" s="5">
        <v>0</v>
      </c>
      <c r="B776" s="6" t="s">
        <v>4306</v>
      </c>
      <c r="C776" s="7">
        <v>1025.9000000000001</v>
      </c>
      <c r="D776" s="8" t="s">
        <v>4307</v>
      </c>
      <c r="E776" s="8" t="s">
        <v>4308</v>
      </c>
      <c r="F776" s="8" t="s">
        <v>4309</v>
      </c>
      <c r="G776" s="6" t="s">
        <v>51</v>
      </c>
      <c r="H776" s="6" t="s">
        <v>84</v>
      </c>
      <c r="I776" s="8" t="s">
        <v>250</v>
      </c>
      <c r="J776" s="9">
        <v>1</v>
      </c>
      <c r="K776" s="9">
        <v>188</v>
      </c>
      <c r="L776" s="9">
        <v>2023</v>
      </c>
      <c r="M776" s="8" t="s">
        <v>4310</v>
      </c>
      <c r="N776" s="8" t="s">
        <v>40</v>
      </c>
      <c r="O776" s="8" t="s">
        <v>41</v>
      </c>
      <c r="P776" s="6" t="s">
        <v>42</v>
      </c>
      <c r="Q776" s="8" t="s">
        <v>43</v>
      </c>
      <c r="R776" s="10" t="s">
        <v>1376</v>
      </c>
      <c r="S776" s="11"/>
      <c r="T776" s="6"/>
      <c r="U776" s="28" t="str">
        <f>HYPERLINK("https://media.infra-m.ru/1940/1940878/cover/1940878.jpg", "Обложка")</f>
        <v>Обложка</v>
      </c>
      <c r="V776" s="28" t="str">
        <f>HYPERLINK("https://znanium.ru/catalog/product/1928401", "Ознакомиться")</f>
        <v>Ознакомиться</v>
      </c>
      <c r="W776" s="8" t="s">
        <v>3737</v>
      </c>
      <c r="X776" s="6"/>
      <c r="Y776" s="6"/>
      <c r="Z776" s="6"/>
      <c r="AA776" s="6" t="s">
        <v>62</v>
      </c>
    </row>
    <row r="777" spans="1:27" s="4" customFormat="1" ht="51.95" customHeight="1">
      <c r="A777" s="5">
        <v>0</v>
      </c>
      <c r="B777" s="6" t="s">
        <v>4311</v>
      </c>
      <c r="C777" s="13">
        <v>960</v>
      </c>
      <c r="D777" s="8" t="s">
        <v>4312</v>
      </c>
      <c r="E777" s="8" t="s">
        <v>4313</v>
      </c>
      <c r="F777" s="8" t="s">
        <v>4314</v>
      </c>
      <c r="G777" s="6" t="s">
        <v>51</v>
      </c>
      <c r="H777" s="6" t="s">
        <v>84</v>
      </c>
      <c r="I777" s="8" t="s">
        <v>250</v>
      </c>
      <c r="J777" s="9">
        <v>1</v>
      </c>
      <c r="K777" s="9">
        <v>168</v>
      </c>
      <c r="L777" s="9">
        <v>2024</v>
      </c>
      <c r="M777" s="8" t="s">
        <v>4315</v>
      </c>
      <c r="N777" s="8" t="s">
        <v>40</v>
      </c>
      <c r="O777" s="8" t="s">
        <v>41</v>
      </c>
      <c r="P777" s="6" t="s">
        <v>42</v>
      </c>
      <c r="Q777" s="8" t="s">
        <v>43</v>
      </c>
      <c r="R777" s="10" t="s">
        <v>4316</v>
      </c>
      <c r="S777" s="11"/>
      <c r="T777" s="6"/>
      <c r="U777" s="28" t="str">
        <f>HYPERLINK("https://media.infra-m.ru/2030/2030750/cover/2030750.jpg", "Обложка")</f>
        <v>Обложка</v>
      </c>
      <c r="V777" s="28" t="str">
        <f>HYPERLINK("https://znanium.ru/catalog/product/2030750", "Ознакомиться")</f>
        <v>Ознакомиться</v>
      </c>
      <c r="W777" s="8" t="s">
        <v>3361</v>
      </c>
      <c r="X777" s="6" t="s">
        <v>264</v>
      </c>
      <c r="Y777" s="6"/>
      <c r="Z777" s="6"/>
      <c r="AA777" s="6" t="s">
        <v>100</v>
      </c>
    </row>
    <row r="778" spans="1:27" s="4" customFormat="1" ht="51.95" customHeight="1">
      <c r="A778" s="5">
        <v>0</v>
      </c>
      <c r="B778" s="6" t="s">
        <v>4317</v>
      </c>
      <c r="C778" s="7">
        <v>1204.8</v>
      </c>
      <c r="D778" s="8" t="s">
        <v>4318</v>
      </c>
      <c r="E778" s="8" t="s">
        <v>4319</v>
      </c>
      <c r="F778" s="8" t="s">
        <v>4320</v>
      </c>
      <c r="G778" s="6" t="s">
        <v>51</v>
      </c>
      <c r="H778" s="6" t="s">
        <v>84</v>
      </c>
      <c r="I778" s="8" t="s">
        <v>250</v>
      </c>
      <c r="J778" s="9">
        <v>1</v>
      </c>
      <c r="K778" s="9">
        <v>219</v>
      </c>
      <c r="L778" s="9">
        <v>2024</v>
      </c>
      <c r="M778" s="8" t="s">
        <v>4321</v>
      </c>
      <c r="N778" s="8" t="s">
        <v>40</v>
      </c>
      <c r="O778" s="8" t="s">
        <v>41</v>
      </c>
      <c r="P778" s="6" t="s">
        <v>42</v>
      </c>
      <c r="Q778" s="8" t="s">
        <v>43</v>
      </c>
      <c r="R778" s="10" t="s">
        <v>4322</v>
      </c>
      <c r="S778" s="11"/>
      <c r="T778" s="6"/>
      <c r="U778" s="28" t="str">
        <f>HYPERLINK("https://media.infra-m.ru/2079/2079650/cover/2079650.jpg", "Обложка")</f>
        <v>Обложка</v>
      </c>
      <c r="V778" s="28" t="str">
        <f>HYPERLINK("https://znanium.ru/catalog/product/1870598", "Ознакомиться")</f>
        <v>Ознакомиться</v>
      </c>
      <c r="W778" s="8" t="s">
        <v>3737</v>
      </c>
      <c r="X778" s="6"/>
      <c r="Y778" s="6"/>
      <c r="Z778" s="6"/>
      <c r="AA778" s="6" t="s">
        <v>353</v>
      </c>
    </row>
    <row r="779" spans="1:27" s="4" customFormat="1" ht="51.95" customHeight="1">
      <c r="A779" s="5">
        <v>0</v>
      </c>
      <c r="B779" s="6" t="s">
        <v>4323</v>
      </c>
      <c r="C779" s="7">
        <v>1152</v>
      </c>
      <c r="D779" s="8" t="s">
        <v>4324</v>
      </c>
      <c r="E779" s="8" t="s">
        <v>4325</v>
      </c>
      <c r="F779" s="8" t="s">
        <v>1600</v>
      </c>
      <c r="G779" s="6" t="s">
        <v>58</v>
      </c>
      <c r="H779" s="6" t="s">
        <v>84</v>
      </c>
      <c r="I779" s="8" t="s">
        <v>93</v>
      </c>
      <c r="J779" s="9">
        <v>1</v>
      </c>
      <c r="K779" s="9">
        <v>198</v>
      </c>
      <c r="L779" s="9">
        <v>2023</v>
      </c>
      <c r="M779" s="8" t="s">
        <v>4326</v>
      </c>
      <c r="N779" s="8" t="s">
        <v>40</v>
      </c>
      <c r="O779" s="8" t="s">
        <v>41</v>
      </c>
      <c r="P779" s="6" t="s">
        <v>75</v>
      </c>
      <c r="Q779" s="8" t="s">
        <v>96</v>
      </c>
      <c r="R779" s="10" t="s">
        <v>1783</v>
      </c>
      <c r="S779" s="11" t="s">
        <v>4327</v>
      </c>
      <c r="T779" s="6"/>
      <c r="U779" s="28" t="str">
        <f>HYPERLINK("https://media.infra-m.ru/1866/1866814/cover/1866814.jpg", "Обложка")</f>
        <v>Обложка</v>
      </c>
      <c r="V779" s="28" t="str">
        <f>HYPERLINK("https://znanium.ru/catalog/product/1866814", "Ознакомиться")</f>
        <v>Ознакомиться</v>
      </c>
      <c r="W779" s="8" t="s">
        <v>1603</v>
      </c>
      <c r="X779" s="6"/>
      <c r="Y779" s="6"/>
      <c r="Z779" s="6"/>
      <c r="AA779" s="6" t="s">
        <v>417</v>
      </c>
    </row>
    <row r="780" spans="1:27" s="4" customFormat="1" ht="51.95" customHeight="1">
      <c r="A780" s="5">
        <v>0</v>
      </c>
      <c r="B780" s="6" t="s">
        <v>4328</v>
      </c>
      <c r="C780" s="13">
        <v>924</v>
      </c>
      <c r="D780" s="8" t="s">
        <v>4329</v>
      </c>
      <c r="E780" s="8" t="s">
        <v>4330</v>
      </c>
      <c r="F780" s="8" t="s">
        <v>4331</v>
      </c>
      <c r="G780" s="6" t="s">
        <v>51</v>
      </c>
      <c r="H780" s="6" t="s">
        <v>84</v>
      </c>
      <c r="I780" s="8" t="s">
        <v>85</v>
      </c>
      <c r="J780" s="9">
        <v>1</v>
      </c>
      <c r="K780" s="9">
        <v>225</v>
      </c>
      <c r="L780" s="9">
        <v>2019</v>
      </c>
      <c r="M780" s="8" t="s">
        <v>4332</v>
      </c>
      <c r="N780" s="8" t="s">
        <v>40</v>
      </c>
      <c r="O780" s="8" t="s">
        <v>41</v>
      </c>
      <c r="P780" s="6" t="s">
        <v>841</v>
      </c>
      <c r="Q780" s="8" t="s">
        <v>43</v>
      </c>
      <c r="R780" s="10" t="s">
        <v>314</v>
      </c>
      <c r="S780" s="11"/>
      <c r="T780" s="6"/>
      <c r="U780" s="28" t="str">
        <f>HYPERLINK("https://media.infra-m.ru/1002/1002084/cover/1002084.jpg", "Обложка")</f>
        <v>Обложка</v>
      </c>
      <c r="V780" s="28" t="str">
        <f>HYPERLINK("https://znanium.ru/catalog/product/1002084", "Ознакомиться")</f>
        <v>Ознакомиться</v>
      </c>
      <c r="W780" s="8" t="s">
        <v>45</v>
      </c>
      <c r="X780" s="6"/>
      <c r="Y780" s="6"/>
      <c r="Z780" s="6"/>
      <c r="AA780" s="6" t="s">
        <v>431</v>
      </c>
    </row>
    <row r="781" spans="1:27" s="4" customFormat="1" ht="51.95" customHeight="1">
      <c r="A781" s="5">
        <v>0</v>
      </c>
      <c r="B781" s="6" t="s">
        <v>4333</v>
      </c>
      <c r="C781" s="13">
        <v>828</v>
      </c>
      <c r="D781" s="8" t="s">
        <v>4334</v>
      </c>
      <c r="E781" s="8" t="s">
        <v>4335</v>
      </c>
      <c r="F781" s="8" t="s">
        <v>4336</v>
      </c>
      <c r="G781" s="6" t="s">
        <v>51</v>
      </c>
      <c r="H781" s="6" t="s">
        <v>38</v>
      </c>
      <c r="I781" s="8"/>
      <c r="J781" s="9">
        <v>1</v>
      </c>
      <c r="K781" s="9">
        <v>144</v>
      </c>
      <c r="L781" s="9">
        <v>2023</v>
      </c>
      <c r="M781" s="8" t="s">
        <v>4337</v>
      </c>
      <c r="N781" s="8" t="s">
        <v>40</v>
      </c>
      <c r="O781" s="8" t="s">
        <v>41</v>
      </c>
      <c r="P781" s="6" t="s">
        <v>42</v>
      </c>
      <c r="Q781" s="8" t="s">
        <v>43</v>
      </c>
      <c r="R781" s="10" t="s">
        <v>4338</v>
      </c>
      <c r="S781" s="11"/>
      <c r="T781" s="6"/>
      <c r="U781" s="28" t="str">
        <f>HYPERLINK("https://media.infra-m.ru/1874/1874021/cover/1874021.jpg", "Обложка")</f>
        <v>Обложка</v>
      </c>
      <c r="V781" s="28" t="str">
        <f>HYPERLINK("https://znanium.ru/catalog/product/1874021", "Ознакомиться")</f>
        <v>Ознакомиться</v>
      </c>
      <c r="W781" s="8" t="s">
        <v>78</v>
      </c>
      <c r="X781" s="6"/>
      <c r="Y781" s="6"/>
      <c r="Z781" s="6"/>
      <c r="AA781" s="6" t="s">
        <v>88</v>
      </c>
    </row>
    <row r="782" spans="1:27" s="4" customFormat="1" ht="51.95" customHeight="1">
      <c r="A782" s="5">
        <v>0</v>
      </c>
      <c r="B782" s="6" t="s">
        <v>4339</v>
      </c>
      <c r="C782" s="13">
        <v>628.79999999999995</v>
      </c>
      <c r="D782" s="8" t="s">
        <v>4340</v>
      </c>
      <c r="E782" s="8" t="s">
        <v>4330</v>
      </c>
      <c r="F782" s="8" t="s">
        <v>4341</v>
      </c>
      <c r="G782" s="6" t="s">
        <v>51</v>
      </c>
      <c r="H782" s="6" t="s">
        <v>38</v>
      </c>
      <c r="I782" s="8"/>
      <c r="J782" s="9">
        <v>1</v>
      </c>
      <c r="K782" s="9">
        <v>112</v>
      </c>
      <c r="L782" s="9">
        <v>2023</v>
      </c>
      <c r="M782" s="8" t="s">
        <v>4342</v>
      </c>
      <c r="N782" s="8" t="s">
        <v>40</v>
      </c>
      <c r="O782" s="8" t="s">
        <v>41</v>
      </c>
      <c r="P782" s="6" t="s">
        <v>75</v>
      </c>
      <c r="Q782" s="8" t="s">
        <v>157</v>
      </c>
      <c r="R782" s="10" t="s">
        <v>4343</v>
      </c>
      <c r="S782" s="11"/>
      <c r="T782" s="6"/>
      <c r="U782" s="28" t="str">
        <f>HYPERLINK("https://media.infra-m.ru/2006/2006914/cover/2006914.jpg", "Обложка")</f>
        <v>Обложка</v>
      </c>
      <c r="V782" s="28" t="str">
        <f>HYPERLINK("https://znanium.ru/catalog/product/2130190", "Ознакомиться")</f>
        <v>Ознакомиться</v>
      </c>
      <c r="W782" s="8" t="s">
        <v>114</v>
      </c>
      <c r="X782" s="6"/>
      <c r="Y782" s="6"/>
      <c r="Z782" s="6"/>
      <c r="AA782" s="6" t="s">
        <v>46</v>
      </c>
    </row>
    <row r="783" spans="1:27" s="4" customFormat="1" ht="51.95" customHeight="1">
      <c r="A783" s="5">
        <v>0</v>
      </c>
      <c r="B783" s="6" t="s">
        <v>4344</v>
      </c>
      <c r="C783" s="13">
        <v>780</v>
      </c>
      <c r="D783" s="8" t="s">
        <v>4345</v>
      </c>
      <c r="E783" s="8" t="s">
        <v>4346</v>
      </c>
      <c r="F783" s="8" t="s">
        <v>4341</v>
      </c>
      <c r="G783" s="6" t="s">
        <v>58</v>
      </c>
      <c r="H783" s="6" t="s">
        <v>38</v>
      </c>
      <c r="I783" s="8"/>
      <c r="J783" s="9">
        <v>1</v>
      </c>
      <c r="K783" s="9">
        <v>128</v>
      </c>
      <c r="L783" s="9">
        <v>2024</v>
      </c>
      <c r="M783" s="8" t="s">
        <v>4347</v>
      </c>
      <c r="N783" s="8" t="s">
        <v>40</v>
      </c>
      <c r="O783" s="8" t="s">
        <v>41</v>
      </c>
      <c r="P783" s="6" t="s">
        <v>75</v>
      </c>
      <c r="Q783" s="8" t="s">
        <v>157</v>
      </c>
      <c r="R783" s="10" t="s">
        <v>4343</v>
      </c>
      <c r="S783" s="11"/>
      <c r="T783" s="6"/>
      <c r="U783" s="28" t="str">
        <f>HYPERLINK("https://media.infra-m.ru/2130/2130190/cover/2130190.jpg", "Обложка")</f>
        <v>Обложка</v>
      </c>
      <c r="V783" s="28" t="str">
        <f>HYPERLINK("https://znanium.ru/catalog/product/2130190", "Ознакомиться")</f>
        <v>Ознакомиться</v>
      </c>
      <c r="W783" s="8" t="s">
        <v>114</v>
      </c>
      <c r="X783" s="6" t="s">
        <v>1758</v>
      </c>
      <c r="Y783" s="6"/>
      <c r="Z783" s="6"/>
      <c r="AA783" s="6" t="s">
        <v>392</v>
      </c>
    </row>
    <row r="784" spans="1:27" s="4" customFormat="1" ht="44.1" customHeight="1">
      <c r="A784" s="5">
        <v>0</v>
      </c>
      <c r="B784" s="6" t="s">
        <v>4348</v>
      </c>
      <c r="C784" s="7">
        <v>1264.8</v>
      </c>
      <c r="D784" s="8" t="s">
        <v>4349</v>
      </c>
      <c r="E784" s="8" t="s">
        <v>4350</v>
      </c>
      <c r="F784" s="8" t="s">
        <v>4351</v>
      </c>
      <c r="G784" s="6" t="s">
        <v>37</v>
      </c>
      <c r="H784" s="6" t="s">
        <v>84</v>
      </c>
      <c r="I784" s="8" t="s">
        <v>250</v>
      </c>
      <c r="J784" s="9">
        <v>1</v>
      </c>
      <c r="K784" s="9">
        <v>229</v>
      </c>
      <c r="L784" s="9">
        <v>2024</v>
      </c>
      <c r="M784" s="8" t="s">
        <v>4352</v>
      </c>
      <c r="N784" s="8" t="s">
        <v>40</v>
      </c>
      <c r="O784" s="8" t="s">
        <v>41</v>
      </c>
      <c r="P784" s="6" t="s">
        <v>42</v>
      </c>
      <c r="Q784" s="8" t="s">
        <v>43</v>
      </c>
      <c r="R784" s="10" t="s">
        <v>4353</v>
      </c>
      <c r="S784" s="11"/>
      <c r="T784" s="6"/>
      <c r="U784" s="28" t="str">
        <f>HYPERLINK("https://media.infra-m.ru/2120/2120780/cover/2120780.jpg", "Обложка")</f>
        <v>Обложка</v>
      </c>
      <c r="V784" s="28" t="str">
        <f>HYPERLINK("https://znanium.ru/catalog/product/1043082", "Ознакомиться")</f>
        <v>Ознакомиться</v>
      </c>
      <c r="W784" s="8" t="s">
        <v>107</v>
      </c>
      <c r="X784" s="6"/>
      <c r="Y784" s="6"/>
      <c r="Z784" s="6"/>
      <c r="AA784" s="6" t="s">
        <v>431</v>
      </c>
    </row>
    <row r="785" spans="1:27" s="4" customFormat="1" ht="44.1" customHeight="1">
      <c r="A785" s="5">
        <v>0</v>
      </c>
      <c r="B785" s="6" t="s">
        <v>4354</v>
      </c>
      <c r="C785" s="7">
        <v>1680</v>
      </c>
      <c r="D785" s="8" t="s">
        <v>4355</v>
      </c>
      <c r="E785" s="8" t="s">
        <v>4356</v>
      </c>
      <c r="F785" s="8" t="s">
        <v>4357</v>
      </c>
      <c r="G785" s="6" t="s">
        <v>51</v>
      </c>
      <c r="H785" s="6" t="s">
        <v>84</v>
      </c>
      <c r="I785" s="8" t="s">
        <v>85</v>
      </c>
      <c r="J785" s="9">
        <v>1</v>
      </c>
      <c r="K785" s="9">
        <v>312</v>
      </c>
      <c r="L785" s="9">
        <v>2023</v>
      </c>
      <c r="M785" s="8" t="s">
        <v>4358</v>
      </c>
      <c r="N785" s="8" t="s">
        <v>40</v>
      </c>
      <c r="O785" s="8" t="s">
        <v>41</v>
      </c>
      <c r="P785" s="6" t="s">
        <v>841</v>
      </c>
      <c r="Q785" s="8" t="s">
        <v>43</v>
      </c>
      <c r="R785" s="10" t="s">
        <v>1714</v>
      </c>
      <c r="S785" s="11"/>
      <c r="T785" s="6"/>
      <c r="U785" s="28" t="str">
        <f>HYPERLINK("https://media.infra-m.ru/1900/1900994/cover/1900994.jpg", "Обложка")</f>
        <v>Обложка</v>
      </c>
      <c r="V785" s="28" t="str">
        <f>HYPERLINK("https://znanium.ru/catalog/product/1900994", "Ознакомиться")</f>
        <v>Ознакомиться</v>
      </c>
      <c r="W785" s="8" t="s">
        <v>45</v>
      </c>
      <c r="X785" s="6"/>
      <c r="Y785" s="6"/>
      <c r="Z785" s="6"/>
      <c r="AA785" s="6" t="s">
        <v>148</v>
      </c>
    </row>
    <row r="786" spans="1:27" s="4" customFormat="1" ht="42" customHeight="1">
      <c r="A786" s="5">
        <v>0</v>
      </c>
      <c r="B786" s="6" t="s">
        <v>4359</v>
      </c>
      <c r="C786" s="7">
        <v>1313.9</v>
      </c>
      <c r="D786" s="8" t="s">
        <v>4360</v>
      </c>
      <c r="E786" s="8" t="s">
        <v>4361</v>
      </c>
      <c r="F786" s="8" t="s">
        <v>4362</v>
      </c>
      <c r="G786" s="6" t="s">
        <v>51</v>
      </c>
      <c r="H786" s="6" t="s">
        <v>84</v>
      </c>
      <c r="I786" s="8" t="s">
        <v>85</v>
      </c>
      <c r="J786" s="9">
        <v>1</v>
      </c>
      <c r="K786" s="9">
        <v>352</v>
      </c>
      <c r="L786" s="9">
        <v>2018</v>
      </c>
      <c r="M786" s="8" t="s">
        <v>4363</v>
      </c>
      <c r="N786" s="8" t="s">
        <v>40</v>
      </c>
      <c r="O786" s="8" t="s">
        <v>41</v>
      </c>
      <c r="P786" s="6" t="s">
        <v>42</v>
      </c>
      <c r="Q786" s="8" t="s">
        <v>43</v>
      </c>
      <c r="R786" s="10" t="s">
        <v>308</v>
      </c>
      <c r="S786" s="11"/>
      <c r="T786" s="6"/>
      <c r="U786" s="28" t="str">
        <f>HYPERLINK("https://media.infra-m.ru/0942/0942224/cover/942224.jpg", "Обложка")</f>
        <v>Обложка</v>
      </c>
      <c r="V786" s="28" t="str">
        <f>HYPERLINK("https://znanium.ru/catalog/product/942224", "Ознакомиться")</f>
        <v>Ознакомиться</v>
      </c>
      <c r="W786" s="8" t="s">
        <v>3485</v>
      </c>
      <c r="X786" s="6"/>
      <c r="Y786" s="6"/>
      <c r="Z786" s="6"/>
      <c r="AA786" s="6" t="s">
        <v>337</v>
      </c>
    </row>
    <row r="787" spans="1:27" s="4" customFormat="1" ht="44.1" customHeight="1">
      <c r="A787" s="5">
        <v>0</v>
      </c>
      <c r="B787" s="6" t="s">
        <v>4364</v>
      </c>
      <c r="C787" s="13">
        <v>960</v>
      </c>
      <c r="D787" s="8" t="s">
        <v>4365</v>
      </c>
      <c r="E787" s="8" t="s">
        <v>4366</v>
      </c>
      <c r="F787" s="8" t="s">
        <v>4367</v>
      </c>
      <c r="G787" s="6" t="s">
        <v>37</v>
      </c>
      <c r="H787" s="6" t="s">
        <v>84</v>
      </c>
      <c r="I787" s="8" t="s">
        <v>85</v>
      </c>
      <c r="J787" s="9">
        <v>1</v>
      </c>
      <c r="K787" s="9">
        <v>234</v>
      </c>
      <c r="L787" s="9">
        <v>2022</v>
      </c>
      <c r="M787" s="8" t="s">
        <v>4368</v>
      </c>
      <c r="N787" s="8" t="s">
        <v>40</v>
      </c>
      <c r="O787" s="8" t="s">
        <v>41</v>
      </c>
      <c r="P787" s="6" t="s">
        <v>42</v>
      </c>
      <c r="Q787" s="8" t="s">
        <v>300</v>
      </c>
      <c r="R787" s="10" t="s">
        <v>1376</v>
      </c>
      <c r="S787" s="11"/>
      <c r="T787" s="6"/>
      <c r="U787" s="28" t="str">
        <f>HYPERLINK("https://media.infra-m.ru/1740/1740082/cover/1740082.jpg", "Обложка")</f>
        <v>Обложка</v>
      </c>
      <c r="V787" s="28" t="str">
        <f>HYPERLINK("https://znanium.ru/catalog/product/1740082", "Ознакомиться")</f>
        <v>Ознакомиться</v>
      </c>
      <c r="W787" s="8" t="s">
        <v>45</v>
      </c>
      <c r="X787" s="6"/>
      <c r="Y787" s="6"/>
      <c r="Z787" s="6"/>
      <c r="AA787" s="6" t="s">
        <v>302</v>
      </c>
    </row>
    <row r="788" spans="1:27" s="4" customFormat="1" ht="51.95" customHeight="1">
      <c r="A788" s="5">
        <v>0</v>
      </c>
      <c r="B788" s="6" t="s">
        <v>4369</v>
      </c>
      <c r="C788" s="7">
        <v>1420.8</v>
      </c>
      <c r="D788" s="8" t="s">
        <v>4370</v>
      </c>
      <c r="E788" s="8" t="s">
        <v>4371</v>
      </c>
      <c r="F788" s="8" t="s">
        <v>4372</v>
      </c>
      <c r="G788" s="6" t="s">
        <v>58</v>
      </c>
      <c r="H788" s="6" t="s">
        <v>1284</v>
      </c>
      <c r="I788" s="8"/>
      <c r="J788" s="9">
        <v>1</v>
      </c>
      <c r="K788" s="9">
        <v>253</v>
      </c>
      <c r="L788" s="9">
        <v>2024</v>
      </c>
      <c r="M788" s="8" t="s">
        <v>4373</v>
      </c>
      <c r="N788" s="8" t="s">
        <v>40</v>
      </c>
      <c r="O788" s="8" t="s">
        <v>41</v>
      </c>
      <c r="P788" s="6" t="s">
        <v>75</v>
      </c>
      <c r="Q788" s="8" t="s">
        <v>76</v>
      </c>
      <c r="R788" s="10" t="s">
        <v>591</v>
      </c>
      <c r="S788" s="11"/>
      <c r="T788" s="6"/>
      <c r="U788" s="28" t="str">
        <f>HYPERLINK("https://media.infra-m.ru/2138/2138676/cover/2138676.jpg", "Обложка")</f>
        <v>Обложка</v>
      </c>
      <c r="V788" s="28" t="str">
        <f>HYPERLINK("https://znanium.ru/catalog/product/1238946", "Ознакомиться")</f>
        <v>Ознакомиться</v>
      </c>
      <c r="W788" s="8" t="s">
        <v>3850</v>
      </c>
      <c r="X788" s="6"/>
      <c r="Y788" s="6"/>
      <c r="Z788" s="6"/>
      <c r="AA788" s="6" t="s">
        <v>302</v>
      </c>
    </row>
    <row r="789" spans="1:27" s="4" customFormat="1" ht="51.95" customHeight="1">
      <c r="A789" s="5">
        <v>0</v>
      </c>
      <c r="B789" s="6" t="s">
        <v>4374</v>
      </c>
      <c r="C789" s="7">
        <v>1348.8</v>
      </c>
      <c r="D789" s="8" t="s">
        <v>4375</v>
      </c>
      <c r="E789" s="8" t="s">
        <v>4371</v>
      </c>
      <c r="F789" s="8" t="s">
        <v>4372</v>
      </c>
      <c r="G789" s="6" t="s">
        <v>58</v>
      </c>
      <c r="H789" s="6" t="s">
        <v>1284</v>
      </c>
      <c r="I789" s="8" t="s">
        <v>93</v>
      </c>
      <c r="J789" s="9">
        <v>1</v>
      </c>
      <c r="K789" s="9">
        <v>251</v>
      </c>
      <c r="L789" s="9">
        <v>2023</v>
      </c>
      <c r="M789" s="8" t="s">
        <v>4376</v>
      </c>
      <c r="N789" s="8" t="s">
        <v>40</v>
      </c>
      <c r="O789" s="8" t="s">
        <v>41</v>
      </c>
      <c r="P789" s="6" t="s">
        <v>75</v>
      </c>
      <c r="Q789" s="8" t="s">
        <v>96</v>
      </c>
      <c r="R789" s="10" t="s">
        <v>3046</v>
      </c>
      <c r="S789" s="11" t="s">
        <v>4377</v>
      </c>
      <c r="T789" s="6"/>
      <c r="U789" s="28" t="str">
        <f>HYPERLINK("https://media.infra-m.ru/1976/1976146/cover/1976146.jpg", "Обложка")</f>
        <v>Обложка</v>
      </c>
      <c r="V789" s="28" t="str">
        <f>HYPERLINK("https://znanium.ru/catalog/product/1017710", "Ознакомиться")</f>
        <v>Ознакомиться</v>
      </c>
      <c r="W789" s="8" t="s">
        <v>3850</v>
      </c>
      <c r="X789" s="6"/>
      <c r="Y789" s="6"/>
      <c r="Z789" s="6" t="s">
        <v>136</v>
      </c>
      <c r="AA789" s="6" t="s">
        <v>79</v>
      </c>
    </row>
    <row r="790" spans="1:27" s="4" customFormat="1" ht="51.95" customHeight="1">
      <c r="A790" s="5">
        <v>0</v>
      </c>
      <c r="B790" s="6" t="s">
        <v>4378</v>
      </c>
      <c r="C790" s="13">
        <v>948</v>
      </c>
      <c r="D790" s="8" t="s">
        <v>4379</v>
      </c>
      <c r="E790" s="8" t="s">
        <v>4380</v>
      </c>
      <c r="F790" s="8" t="s">
        <v>4381</v>
      </c>
      <c r="G790" s="6" t="s">
        <v>37</v>
      </c>
      <c r="H790" s="6" t="s">
        <v>84</v>
      </c>
      <c r="I790" s="8" t="s">
        <v>93</v>
      </c>
      <c r="J790" s="9">
        <v>1</v>
      </c>
      <c r="K790" s="9">
        <v>169</v>
      </c>
      <c r="L790" s="9">
        <v>2023</v>
      </c>
      <c r="M790" s="8" t="s">
        <v>4382</v>
      </c>
      <c r="N790" s="8" t="s">
        <v>40</v>
      </c>
      <c r="O790" s="8" t="s">
        <v>41</v>
      </c>
      <c r="P790" s="6" t="s">
        <v>75</v>
      </c>
      <c r="Q790" s="8" t="s">
        <v>96</v>
      </c>
      <c r="R790" s="10" t="s">
        <v>4383</v>
      </c>
      <c r="S790" s="11" t="s">
        <v>4384</v>
      </c>
      <c r="T790" s="6"/>
      <c r="U790" s="28" t="str">
        <f>HYPERLINK("https://media.infra-m.ru/2051/2051244/cover/2051244.jpg", "Обложка")</f>
        <v>Обложка</v>
      </c>
      <c r="V790" s="28" t="str">
        <f>HYPERLINK("https://znanium.ru/catalog/product/1817478", "Ознакомиться")</f>
        <v>Ознакомиться</v>
      </c>
      <c r="W790" s="8" t="s">
        <v>4385</v>
      </c>
      <c r="X790" s="6"/>
      <c r="Y790" s="6"/>
      <c r="Z790" s="6"/>
      <c r="AA790" s="6" t="s">
        <v>137</v>
      </c>
    </row>
    <row r="791" spans="1:27" s="4" customFormat="1" ht="51.95" customHeight="1">
      <c r="A791" s="5">
        <v>0</v>
      </c>
      <c r="B791" s="6" t="s">
        <v>4386</v>
      </c>
      <c r="C791" s="13">
        <v>688.8</v>
      </c>
      <c r="D791" s="8" t="s">
        <v>4387</v>
      </c>
      <c r="E791" s="8" t="s">
        <v>4388</v>
      </c>
      <c r="F791" s="8" t="s">
        <v>4381</v>
      </c>
      <c r="G791" s="6" t="s">
        <v>51</v>
      </c>
      <c r="H791" s="6" t="s">
        <v>191</v>
      </c>
      <c r="I791" s="8" t="s">
        <v>93</v>
      </c>
      <c r="J791" s="9">
        <v>1</v>
      </c>
      <c r="K791" s="9">
        <v>125</v>
      </c>
      <c r="L791" s="9">
        <v>2023</v>
      </c>
      <c r="M791" s="8" t="s">
        <v>4389</v>
      </c>
      <c r="N791" s="8" t="s">
        <v>40</v>
      </c>
      <c r="O791" s="8" t="s">
        <v>41</v>
      </c>
      <c r="P791" s="6" t="s">
        <v>75</v>
      </c>
      <c r="Q791" s="8" t="s">
        <v>96</v>
      </c>
      <c r="R791" s="10" t="s">
        <v>4383</v>
      </c>
      <c r="S791" s="11" t="s">
        <v>4384</v>
      </c>
      <c r="T791" s="6"/>
      <c r="U791" s="28" t="str">
        <f>HYPERLINK("https://media.infra-m.ru/2124/2124785/cover/2124785.jpg", "Обложка")</f>
        <v>Обложка</v>
      </c>
      <c r="V791" s="28" t="str">
        <f>HYPERLINK("https://znanium.ru/catalog/product/1817478", "Ознакомиться")</f>
        <v>Ознакомиться</v>
      </c>
      <c r="W791" s="8" t="s">
        <v>4385</v>
      </c>
      <c r="X791" s="6"/>
      <c r="Y791" s="6"/>
      <c r="Z791" s="6"/>
      <c r="AA791" s="6" t="s">
        <v>302</v>
      </c>
    </row>
    <row r="792" spans="1:27" s="4" customFormat="1" ht="42" customHeight="1">
      <c r="A792" s="5">
        <v>0</v>
      </c>
      <c r="B792" s="6" t="s">
        <v>4390</v>
      </c>
      <c r="C792" s="13">
        <v>780</v>
      </c>
      <c r="D792" s="8" t="s">
        <v>4391</v>
      </c>
      <c r="E792" s="8" t="s">
        <v>4392</v>
      </c>
      <c r="F792" s="8" t="s">
        <v>4393</v>
      </c>
      <c r="G792" s="6" t="s">
        <v>58</v>
      </c>
      <c r="H792" s="6" t="s">
        <v>84</v>
      </c>
      <c r="I792" s="8" t="s">
        <v>93</v>
      </c>
      <c r="J792" s="9">
        <v>1</v>
      </c>
      <c r="K792" s="9">
        <v>129</v>
      </c>
      <c r="L792" s="9">
        <v>2023</v>
      </c>
      <c r="M792" s="8" t="s">
        <v>4394</v>
      </c>
      <c r="N792" s="8" t="s">
        <v>40</v>
      </c>
      <c r="O792" s="8" t="s">
        <v>41</v>
      </c>
      <c r="P792" s="6" t="s">
        <v>75</v>
      </c>
      <c r="Q792" s="8" t="s">
        <v>96</v>
      </c>
      <c r="R792" s="10" t="s">
        <v>4395</v>
      </c>
      <c r="S792" s="11"/>
      <c r="T792" s="6"/>
      <c r="U792" s="28" t="str">
        <f>HYPERLINK("https://media.infra-m.ru/1860/1860506/cover/1860506.jpg", "Обложка")</f>
        <v>Обложка</v>
      </c>
      <c r="V792" s="28" t="str">
        <f>HYPERLINK("https://znanium.ru/catalog/product/1860506", "Ознакомиться")</f>
        <v>Ознакомиться</v>
      </c>
      <c r="W792" s="8" t="s">
        <v>4396</v>
      </c>
      <c r="X792" s="6" t="s">
        <v>3526</v>
      </c>
      <c r="Y792" s="6"/>
      <c r="Z792" s="6"/>
      <c r="AA792" s="6" t="s">
        <v>417</v>
      </c>
    </row>
    <row r="793" spans="1:27" s="4" customFormat="1" ht="51.95" customHeight="1">
      <c r="A793" s="5">
        <v>0</v>
      </c>
      <c r="B793" s="6" t="s">
        <v>4397</v>
      </c>
      <c r="C793" s="7">
        <v>1296</v>
      </c>
      <c r="D793" s="8" t="s">
        <v>4398</v>
      </c>
      <c r="E793" s="8" t="s">
        <v>4399</v>
      </c>
      <c r="F793" s="8" t="s">
        <v>4400</v>
      </c>
      <c r="G793" s="6" t="s">
        <v>37</v>
      </c>
      <c r="H793" s="6" t="s">
        <v>191</v>
      </c>
      <c r="I793" s="8" t="s">
        <v>93</v>
      </c>
      <c r="J793" s="9">
        <v>1</v>
      </c>
      <c r="K793" s="9">
        <v>240</v>
      </c>
      <c r="L793" s="9">
        <v>2023</v>
      </c>
      <c r="M793" s="8" t="s">
        <v>4401</v>
      </c>
      <c r="N793" s="8" t="s">
        <v>40</v>
      </c>
      <c r="O793" s="8" t="s">
        <v>41</v>
      </c>
      <c r="P793" s="6" t="s">
        <v>75</v>
      </c>
      <c r="Q793" s="8" t="s">
        <v>96</v>
      </c>
      <c r="R793" s="10" t="s">
        <v>4402</v>
      </c>
      <c r="S793" s="11" t="s">
        <v>4403</v>
      </c>
      <c r="T793" s="6"/>
      <c r="U793" s="28" t="str">
        <f>HYPERLINK("https://media.infra-m.ru/1921/1921420/cover/1921420.jpg", "Обложка")</f>
        <v>Обложка</v>
      </c>
      <c r="V793" s="28" t="str">
        <f>HYPERLINK("https://znanium.ru/catalog/product/1921420", "Ознакомиться")</f>
        <v>Ознакомиться</v>
      </c>
      <c r="W793" s="8" t="s">
        <v>4404</v>
      </c>
      <c r="X793" s="6"/>
      <c r="Y793" s="6"/>
      <c r="Z793" s="6"/>
      <c r="AA793" s="6" t="s">
        <v>737</v>
      </c>
    </row>
    <row r="794" spans="1:27" s="4" customFormat="1" ht="51.95" customHeight="1">
      <c r="A794" s="5">
        <v>0</v>
      </c>
      <c r="B794" s="6" t="s">
        <v>4405</v>
      </c>
      <c r="C794" s="13">
        <v>864</v>
      </c>
      <c r="D794" s="8" t="s">
        <v>4406</v>
      </c>
      <c r="E794" s="8" t="s">
        <v>4407</v>
      </c>
      <c r="F794" s="8" t="s">
        <v>4408</v>
      </c>
      <c r="G794" s="6" t="s">
        <v>51</v>
      </c>
      <c r="H794" s="6" t="s">
        <v>278</v>
      </c>
      <c r="I794" s="8" t="s">
        <v>120</v>
      </c>
      <c r="J794" s="9">
        <v>1</v>
      </c>
      <c r="K794" s="9">
        <v>143</v>
      </c>
      <c r="L794" s="9">
        <v>2024</v>
      </c>
      <c r="M794" s="8" t="s">
        <v>4409</v>
      </c>
      <c r="N794" s="8" t="s">
        <v>40</v>
      </c>
      <c r="O794" s="8" t="s">
        <v>41</v>
      </c>
      <c r="P794" s="6" t="s">
        <v>75</v>
      </c>
      <c r="Q794" s="8" t="s">
        <v>76</v>
      </c>
      <c r="R794" s="10" t="s">
        <v>4410</v>
      </c>
      <c r="S794" s="11" t="s">
        <v>4411</v>
      </c>
      <c r="T794" s="6" t="s">
        <v>378</v>
      </c>
      <c r="U794" s="28" t="str">
        <f>HYPERLINK("https://media.infra-m.ru/2125/2125145/cover/2125145.jpg", "Обложка")</f>
        <v>Обложка</v>
      </c>
      <c r="V794" s="28" t="str">
        <f>HYPERLINK("https://znanium.ru/catalog/product/2125145", "Ознакомиться")</f>
        <v>Ознакомиться</v>
      </c>
      <c r="W794" s="8" t="s">
        <v>4412</v>
      </c>
      <c r="X794" s="6"/>
      <c r="Y794" s="6"/>
      <c r="Z794" s="6"/>
      <c r="AA794" s="6" t="s">
        <v>2490</v>
      </c>
    </row>
    <row r="795" spans="1:27" s="4" customFormat="1" ht="42" customHeight="1">
      <c r="A795" s="5">
        <v>0</v>
      </c>
      <c r="B795" s="6" t="s">
        <v>4413</v>
      </c>
      <c r="C795" s="13">
        <v>888</v>
      </c>
      <c r="D795" s="8" t="s">
        <v>4414</v>
      </c>
      <c r="E795" s="8" t="s">
        <v>4415</v>
      </c>
      <c r="F795" s="8" t="s">
        <v>4416</v>
      </c>
      <c r="G795" s="6" t="s">
        <v>51</v>
      </c>
      <c r="H795" s="6" t="s">
        <v>52</v>
      </c>
      <c r="I795" s="8" t="s">
        <v>4417</v>
      </c>
      <c r="J795" s="9">
        <v>1</v>
      </c>
      <c r="K795" s="9">
        <v>149</v>
      </c>
      <c r="L795" s="9">
        <v>2023</v>
      </c>
      <c r="M795" s="8" t="s">
        <v>4418</v>
      </c>
      <c r="N795" s="8" t="s">
        <v>40</v>
      </c>
      <c r="O795" s="8" t="s">
        <v>41</v>
      </c>
      <c r="P795" s="6" t="s">
        <v>4419</v>
      </c>
      <c r="Q795" s="8" t="s">
        <v>43</v>
      </c>
      <c r="R795" s="10" t="s">
        <v>4420</v>
      </c>
      <c r="S795" s="11"/>
      <c r="T795" s="6" t="s">
        <v>378</v>
      </c>
      <c r="U795" s="28" t="str">
        <f>HYPERLINK("https://media.infra-m.ru/2124/2124928/cover/2124928.jpg", "Обложка")</f>
        <v>Обложка</v>
      </c>
      <c r="V795" s="28" t="str">
        <f>HYPERLINK("https://znanium.ru/catalog/product/2124928", "Ознакомиться")</f>
        <v>Ознакомиться</v>
      </c>
      <c r="W795" s="8" t="s">
        <v>4421</v>
      </c>
      <c r="X795" s="6"/>
      <c r="Y795" s="6" t="s">
        <v>30</v>
      </c>
      <c r="Z795" s="6"/>
      <c r="AA795" s="6" t="s">
        <v>1225</v>
      </c>
    </row>
    <row r="796" spans="1:27" s="4" customFormat="1" ht="42" customHeight="1">
      <c r="A796" s="5">
        <v>0</v>
      </c>
      <c r="B796" s="6" t="s">
        <v>4422</v>
      </c>
      <c r="C796" s="13">
        <v>624</v>
      </c>
      <c r="D796" s="8" t="s">
        <v>4423</v>
      </c>
      <c r="E796" s="8" t="s">
        <v>4424</v>
      </c>
      <c r="F796" s="8" t="s">
        <v>4416</v>
      </c>
      <c r="G796" s="6" t="s">
        <v>51</v>
      </c>
      <c r="H796" s="6" t="s">
        <v>52</v>
      </c>
      <c r="I796" s="8" t="s">
        <v>4417</v>
      </c>
      <c r="J796" s="9">
        <v>1</v>
      </c>
      <c r="K796" s="9">
        <v>138</v>
      </c>
      <c r="L796" s="9">
        <v>2021</v>
      </c>
      <c r="M796" s="8" t="s">
        <v>4425</v>
      </c>
      <c r="N796" s="8" t="s">
        <v>40</v>
      </c>
      <c r="O796" s="8" t="s">
        <v>41</v>
      </c>
      <c r="P796" s="6" t="s">
        <v>4419</v>
      </c>
      <c r="Q796" s="8" t="s">
        <v>43</v>
      </c>
      <c r="R796" s="10" t="s">
        <v>4420</v>
      </c>
      <c r="S796" s="11"/>
      <c r="T796" s="6" t="s">
        <v>378</v>
      </c>
      <c r="U796" s="28" t="str">
        <f>HYPERLINK("https://media.infra-m.ru/1215/1215351/cover/1215351.jpg", "Обложка")</f>
        <v>Обложка</v>
      </c>
      <c r="V796" s="28" t="str">
        <f>HYPERLINK("https://znanium.ru/catalog/product/2124928", "Ознакомиться")</f>
        <v>Ознакомиться</v>
      </c>
      <c r="W796" s="8" t="s">
        <v>4421</v>
      </c>
      <c r="X796" s="6"/>
      <c r="Y796" s="6" t="s">
        <v>30</v>
      </c>
      <c r="Z796" s="6"/>
      <c r="AA796" s="6" t="s">
        <v>673</v>
      </c>
    </row>
    <row r="797" spans="1:27" s="4" customFormat="1" ht="42" customHeight="1">
      <c r="A797" s="5">
        <v>0</v>
      </c>
      <c r="B797" s="6" t="s">
        <v>4426</v>
      </c>
      <c r="C797" s="13">
        <v>840</v>
      </c>
      <c r="D797" s="8" t="s">
        <v>4427</v>
      </c>
      <c r="E797" s="8" t="s">
        <v>4428</v>
      </c>
      <c r="F797" s="8" t="s">
        <v>4416</v>
      </c>
      <c r="G797" s="6" t="s">
        <v>51</v>
      </c>
      <c r="H797" s="6" t="s">
        <v>52</v>
      </c>
      <c r="I797" s="8" t="s">
        <v>4417</v>
      </c>
      <c r="J797" s="9">
        <v>1</v>
      </c>
      <c r="K797" s="9">
        <v>156</v>
      </c>
      <c r="L797" s="9">
        <v>2022</v>
      </c>
      <c r="M797" s="8" t="s">
        <v>4429</v>
      </c>
      <c r="N797" s="8" t="s">
        <v>40</v>
      </c>
      <c r="O797" s="8" t="s">
        <v>41</v>
      </c>
      <c r="P797" s="6" t="s">
        <v>4419</v>
      </c>
      <c r="Q797" s="8" t="s">
        <v>43</v>
      </c>
      <c r="R797" s="10" t="s">
        <v>4420</v>
      </c>
      <c r="S797" s="11"/>
      <c r="T797" s="6" t="s">
        <v>378</v>
      </c>
      <c r="U797" s="28" t="str">
        <f>HYPERLINK("https://media.infra-m.ru/1946/1946421/cover/1946421.jpg", "Обложка")</f>
        <v>Обложка</v>
      </c>
      <c r="V797" s="28" t="str">
        <f>HYPERLINK("https://znanium.ru/catalog/product/2124928", "Ознакомиться")</f>
        <v>Ознакомиться</v>
      </c>
      <c r="W797" s="8" t="s">
        <v>4421</v>
      </c>
      <c r="X797" s="6"/>
      <c r="Y797" s="6" t="s">
        <v>30</v>
      </c>
      <c r="Z797" s="6"/>
      <c r="AA797" s="6" t="s">
        <v>1753</v>
      </c>
    </row>
    <row r="798" spans="1:27" s="4" customFormat="1" ht="42" customHeight="1">
      <c r="A798" s="5">
        <v>0</v>
      </c>
      <c r="B798" s="6" t="s">
        <v>4430</v>
      </c>
      <c r="C798" s="13">
        <v>509.9</v>
      </c>
      <c r="D798" s="8" t="s">
        <v>4431</v>
      </c>
      <c r="E798" s="8" t="s">
        <v>4432</v>
      </c>
      <c r="F798" s="8" t="s">
        <v>4416</v>
      </c>
      <c r="G798" s="6" t="s">
        <v>51</v>
      </c>
      <c r="H798" s="6" t="s">
        <v>52</v>
      </c>
      <c r="I798" s="8" t="s">
        <v>4417</v>
      </c>
      <c r="J798" s="9">
        <v>1</v>
      </c>
      <c r="K798" s="9">
        <v>137</v>
      </c>
      <c r="L798" s="9">
        <v>2018</v>
      </c>
      <c r="M798" s="8" t="s">
        <v>4433</v>
      </c>
      <c r="N798" s="8" t="s">
        <v>40</v>
      </c>
      <c r="O798" s="8" t="s">
        <v>41</v>
      </c>
      <c r="P798" s="6" t="s">
        <v>4419</v>
      </c>
      <c r="Q798" s="8" t="s">
        <v>43</v>
      </c>
      <c r="R798" s="10" t="s">
        <v>4420</v>
      </c>
      <c r="S798" s="11"/>
      <c r="T798" s="6"/>
      <c r="U798" s="28" t="str">
        <f>HYPERLINK("https://media.infra-m.ru/0982/0982779/cover/982779.jpg", "Обложка")</f>
        <v>Обложка</v>
      </c>
      <c r="V798" s="28" t="str">
        <f>HYPERLINK("https://znanium.ru/catalog/product/2124928", "Ознакомиться")</f>
        <v>Ознакомиться</v>
      </c>
      <c r="W798" s="8" t="s">
        <v>4421</v>
      </c>
      <c r="X798" s="6"/>
      <c r="Y798" s="6" t="s">
        <v>30</v>
      </c>
      <c r="Z798" s="6"/>
      <c r="AA798" s="6" t="s">
        <v>557</v>
      </c>
    </row>
    <row r="799" spans="1:27" s="4" customFormat="1" ht="51.95" customHeight="1">
      <c r="A799" s="5">
        <v>0</v>
      </c>
      <c r="B799" s="6" t="s">
        <v>4434</v>
      </c>
      <c r="C799" s="7">
        <v>1176</v>
      </c>
      <c r="D799" s="8" t="s">
        <v>4435</v>
      </c>
      <c r="E799" s="8" t="s">
        <v>4424</v>
      </c>
      <c r="F799" s="8" t="s">
        <v>4436</v>
      </c>
      <c r="G799" s="6" t="s">
        <v>37</v>
      </c>
      <c r="H799" s="6" t="s">
        <v>84</v>
      </c>
      <c r="I799" s="8" t="s">
        <v>120</v>
      </c>
      <c r="J799" s="9">
        <v>1</v>
      </c>
      <c r="K799" s="9">
        <v>212</v>
      </c>
      <c r="L799" s="9">
        <v>2024</v>
      </c>
      <c r="M799" s="8" t="s">
        <v>4437</v>
      </c>
      <c r="N799" s="8" t="s">
        <v>40</v>
      </c>
      <c r="O799" s="8" t="s">
        <v>41</v>
      </c>
      <c r="P799" s="6" t="s">
        <v>95</v>
      </c>
      <c r="Q799" s="8" t="s">
        <v>76</v>
      </c>
      <c r="R799" s="10" t="s">
        <v>4438</v>
      </c>
      <c r="S799" s="11" t="s">
        <v>4439</v>
      </c>
      <c r="T799" s="6"/>
      <c r="U799" s="28" t="str">
        <f>HYPERLINK("https://media.infra-m.ru/2084/2084656/cover/2084656.jpg", "Обложка")</f>
        <v>Обложка</v>
      </c>
      <c r="V799" s="28" t="str">
        <f>HYPERLINK("https://znanium.ru/catalog/product/2084656", "Ознакомиться")</f>
        <v>Ознакомиться</v>
      </c>
      <c r="W799" s="8" t="s">
        <v>4440</v>
      </c>
      <c r="X799" s="6"/>
      <c r="Y799" s="6" t="s">
        <v>30</v>
      </c>
      <c r="Z799" s="6" t="s">
        <v>4441</v>
      </c>
      <c r="AA799" s="6" t="s">
        <v>2485</v>
      </c>
    </row>
    <row r="800" spans="1:27" s="4" customFormat="1" ht="51.95" customHeight="1">
      <c r="A800" s="5">
        <v>0</v>
      </c>
      <c r="B800" s="6" t="s">
        <v>4442</v>
      </c>
      <c r="C800" s="7">
        <v>1200</v>
      </c>
      <c r="D800" s="8" t="s">
        <v>4443</v>
      </c>
      <c r="E800" s="8" t="s">
        <v>4424</v>
      </c>
      <c r="F800" s="8" t="s">
        <v>4436</v>
      </c>
      <c r="G800" s="6" t="s">
        <v>37</v>
      </c>
      <c r="H800" s="6" t="s">
        <v>84</v>
      </c>
      <c r="I800" s="8" t="s">
        <v>93</v>
      </c>
      <c r="J800" s="9">
        <v>1</v>
      </c>
      <c r="K800" s="9">
        <v>212</v>
      </c>
      <c r="L800" s="9">
        <v>2024</v>
      </c>
      <c r="M800" s="8" t="s">
        <v>4444</v>
      </c>
      <c r="N800" s="8" t="s">
        <v>40</v>
      </c>
      <c r="O800" s="8" t="s">
        <v>41</v>
      </c>
      <c r="P800" s="6" t="s">
        <v>95</v>
      </c>
      <c r="Q800" s="8" t="s">
        <v>96</v>
      </c>
      <c r="R800" s="10" t="s">
        <v>4445</v>
      </c>
      <c r="S800" s="11" t="s">
        <v>4446</v>
      </c>
      <c r="T800" s="6"/>
      <c r="U800" s="28" t="str">
        <f>HYPERLINK("https://media.infra-m.ru/2139/2139314/cover/2139314.jpg", "Обложка")</f>
        <v>Обложка</v>
      </c>
      <c r="V800" s="28" t="str">
        <f>HYPERLINK("https://znanium.ru/catalog/product/2139314", "Ознакомиться")</f>
        <v>Ознакомиться</v>
      </c>
      <c r="W800" s="8" t="s">
        <v>4440</v>
      </c>
      <c r="X800" s="6"/>
      <c r="Y800" s="6" t="s">
        <v>30</v>
      </c>
      <c r="Z800" s="6"/>
      <c r="AA800" s="6" t="s">
        <v>2485</v>
      </c>
    </row>
    <row r="801" spans="1:27" s="4" customFormat="1" ht="51.95" customHeight="1">
      <c r="A801" s="5">
        <v>0</v>
      </c>
      <c r="B801" s="6" t="s">
        <v>4447</v>
      </c>
      <c r="C801" s="7">
        <v>1224</v>
      </c>
      <c r="D801" s="8" t="s">
        <v>4448</v>
      </c>
      <c r="E801" s="8" t="s">
        <v>4432</v>
      </c>
      <c r="F801" s="8" t="s">
        <v>4436</v>
      </c>
      <c r="G801" s="6" t="s">
        <v>37</v>
      </c>
      <c r="H801" s="6" t="s">
        <v>278</v>
      </c>
      <c r="I801" s="8" t="s">
        <v>93</v>
      </c>
      <c r="J801" s="9">
        <v>1</v>
      </c>
      <c r="K801" s="9">
        <v>298</v>
      </c>
      <c r="L801" s="9">
        <v>2020</v>
      </c>
      <c r="M801" s="8" t="s">
        <v>4449</v>
      </c>
      <c r="N801" s="8" t="s">
        <v>40</v>
      </c>
      <c r="O801" s="8" t="s">
        <v>41</v>
      </c>
      <c r="P801" s="6" t="s">
        <v>75</v>
      </c>
      <c r="Q801" s="8" t="s">
        <v>96</v>
      </c>
      <c r="R801" s="10" t="s">
        <v>4445</v>
      </c>
      <c r="S801" s="11" t="s">
        <v>4450</v>
      </c>
      <c r="T801" s="6"/>
      <c r="U801" s="28" t="str">
        <f>HYPERLINK("https://media.infra-m.ru/1096/1096998/cover/1096998.jpg", "Обложка")</f>
        <v>Обложка</v>
      </c>
      <c r="V801" s="28" t="str">
        <f>HYPERLINK("https://znanium.ru/catalog/product/2139314", "Ознакомиться")</f>
        <v>Ознакомиться</v>
      </c>
      <c r="W801" s="8" t="s">
        <v>4440</v>
      </c>
      <c r="X801" s="6"/>
      <c r="Y801" s="6" t="s">
        <v>30</v>
      </c>
      <c r="Z801" s="6"/>
      <c r="AA801" s="6" t="s">
        <v>557</v>
      </c>
    </row>
    <row r="802" spans="1:27" s="4" customFormat="1" ht="42" customHeight="1">
      <c r="A802" s="5">
        <v>0</v>
      </c>
      <c r="B802" s="6" t="s">
        <v>4451</v>
      </c>
      <c r="C802" s="7">
        <v>1236</v>
      </c>
      <c r="D802" s="8" t="s">
        <v>4452</v>
      </c>
      <c r="E802" s="8" t="s">
        <v>4453</v>
      </c>
      <c r="F802" s="8" t="s">
        <v>4454</v>
      </c>
      <c r="G802" s="6" t="s">
        <v>37</v>
      </c>
      <c r="H802" s="6" t="s">
        <v>84</v>
      </c>
      <c r="I802" s="8" t="s">
        <v>85</v>
      </c>
      <c r="J802" s="9">
        <v>1</v>
      </c>
      <c r="K802" s="9">
        <v>272</v>
      </c>
      <c r="L802" s="9">
        <v>2022</v>
      </c>
      <c r="M802" s="8" t="s">
        <v>4455</v>
      </c>
      <c r="N802" s="8" t="s">
        <v>40</v>
      </c>
      <c r="O802" s="8" t="s">
        <v>41</v>
      </c>
      <c r="P802" s="6" t="s">
        <v>42</v>
      </c>
      <c r="Q802" s="8" t="s">
        <v>43</v>
      </c>
      <c r="R802" s="10" t="s">
        <v>932</v>
      </c>
      <c r="S802" s="11"/>
      <c r="T802" s="6"/>
      <c r="U802" s="28" t="str">
        <f>HYPERLINK("https://media.infra-m.ru/1870/1870587/cover/1870587.jpg", "Обложка")</f>
        <v>Обложка</v>
      </c>
      <c r="V802" s="28" t="str">
        <f>HYPERLINK("https://znanium.ru/catalog/product/1870587", "Ознакомиться")</f>
        <v>Ознакомиться</v>
      </c>
      <c r="W802" s="8" t="s">
        <v>45</v>
      </c>
      <c r="X802" s="6"/>
      <c r="Y802" s="6"/>
      <c r="Z802" s="6"/>
      <c r="AA802" s="6" t="s">
        <v>148</v>
      </c>
    </row>
    <row r="803" spans="1:27" s="4" customFormat="1" ht="51.95" customHeight="1">
      <c r="A803" s="5">
        <v>0</v>
      </c>
      <c r="B803" s="6" t="s">
        <v>4456</v>
      </c>
      <c r="C803" s="7">
        <v>1020</v>
      </c>
      <c r="D803" s="8" t="s">
        <v>4457</v>
      </c>
      <c r="E803" s="8" t="s">
        <v>4458</v>
      </c>
      <c r="F803" s="8" t="s">
        <v>4459</v>
      </c>
      <c r="G803" s="6" t="s">
        <v>37</v>
      </c>
      <c r="H803" s="6" t="s">
        <v>84</v>
      </c>
      <c r="I803" s="8" t="s">
        <v>184</v>
      </c>
      <c r="J803" s="9">
        <v>1</v>
      </c>
      <c r="K803" s="9">
        <v>223</v>
      </c>
      <c r="L803" s="9">
        <v>2022</v>
      </c>
      <c r="M803" s="8" t="s">
        <v>4460</v>
      </c>
      <c r="N803" s="8" t="s">
        <v>40</v>
      </c>
      <c r="O803" s="8" t="s">
        <v>41</v>
      </c>
      <c r="P803" s="6" t="s">
        <v>75</v>
      </c>
      <c r="Q803" s="8" t="s">
        <v>76</v>
      </c>
      <c r="R803" s="10" t="s">
        <v>4461</v>
      </c>
      <c r="S803" s="11" t="s">
        <v>4462</v>
      </c>
      <c r="T803" s="6"/>
      <c r="U803" s="28" t="str">
        <f>HYPERLINK("https://media.infra-m.ru/1859/1859601/cover/1859601.jpg", "Обложка")</f>
        <v>Обложка</v>
      </c>
      <c r="V803" s="28" t="str">
        <f>HYPERLINK("https://znanium.ru/catalog/product/1859601", "Ознакомиться")</f>
        <v>Ознакомиться</v>
      </c>
      <c r="W803" s="8" t="s">
        <v>4463</v>
      </c>
      <c r="X803" s="6"/>
      <c r="Y803" s="6"/>
      <c r="Z803" s="6"/>
      <c r="AA803" s="6" t="s">
        <v>46</v>
      </c>
    </row>
    <row r="804" spans="1:27" s="4" customFormat="1" ht="42" customHeight="1">
      <c r="A804" s="5">
        <v>0</v>
      </c>
      <c r="B804" s="6" t="s">
        <v>4464</v>
      </c>
      <c r="C804" s="7">
        <v>2380.8000000000002</v>
      </c>
      <c r="D804" s="8" t="s">
        <v>4465</v>
      </c>
      <c r="E804" s="8" t="s">
        <v>4466</v>
      </c>
      <c r="F804" s="8" t="s">
        <v>4467</v>
      </c>
      <c r="G804" s="6" t="s">
        <v>58</v>
      </c>
      <c r="H804" s="6" t="s">
        <v>650</v>
      </c>
      <c r="I804" s="8" t="s">
        <v>1560</v>
      </c>
      <c r="J804" s="9">
        <v>1</v>
      </c>
      <c r="K804" s="9">
        <v>435</v>
      </c>
      <c r="L804" s="9">
        <v>2024</v>
      </c>
      <c r="M804" s="8" t="s">
        <v>4468</v>
      </c>
      <c r="N804" s="8" t="s">
        <v>40</v>
      </c>
      <c r="O804" s="8" t="s">
        <v>41</v>
      </c>
      <c r="P804" s="6" t="s">
        <v>42</v>
      </c>
      <c r="Q804" s="8" t="s">
        <v>43</v>
      </c>
      <c r="R804" s="10" t="s">
        <v>308</v>
      </c>
      <c r="S804" s="11"/>
      <c r="T804" s="6"/>
      <c r="U804" s="28" t="str">
        <f>HYPERLINK("https://media.infra-m.ru/2056/2056650/cover/2056650.jpg", "Обложка")</f>
        <v>Обложка</v>
      </c>
      <c r="V804" s="12"/>
      <c r="W804" s="8" t="s">
        <v>1399</v>
      </c>
      <c r="X804" s="6"/>
      <c r="Y804" s="6"/>
      <c r="Z804" s="6"/>
      <c r="AA804" s="6" t="s">
        <v>737</v>
      </c>
    </row>
    <row r="805" spans="1:27" s="4" customFormat="1" ht="44.1" customHeight="1">
      <c r="A805" s="5">
        <v>0</v>
      </c>
      <c r="B805" s="6" t="s">
        <v>4469</v>
      </c>
      <c r="C805" s="7">
        <v>1224</v>
      </c>
      <c r="D805" s="8" t="s">
        <v>4470</v>
      </c>
      <c r="E805" s="8" t="s">
        <v>4471</v>
      </c>
      <c r="F805" s="8" t="s">
        <v>4472</v>
      </c>
      <c r="G805" s="6" t="s">
        <v>37</v>
      </c>
      <c r="H805" s="6" t="s">
        <v>84</v>
      </c>
      <c r="I805" s="8" t="s">
        <v>250</v>
      </c>
      <c r="J805" s="9">
        <v>1</v>
      </c>
      <c r="K805" s="9">
        <v>214</v>
      </c>
      <c r="L805" s="9">
        <v>2024</v>
      </c>
      <c r="M805" s="8" t="s">
        <v>4473</v>
      </c>
      <c r="N805" s="8" t="s">
        <v>40</v>
      </c>
      <c r="O805" s="8" t="s">
        <v>41</v>
      </c>
      <c r="P805" s="6" t="s">
        <v>42</v>
      </c>
      <c r="Q805" s="8" t="s">
        <v>43</v>
      </c>
      <c r="R805" s="10" t="s">
        <v>2233</v>
      </c>
      <c r="S805" s="11"/>
      <c r="T805" s="6"/>
      <c r="U805" s="28" t="str">
        <f>HYPERLINK("https://media.infra-m.ru/2132/2132306/cover/2132306.jpg", "Обложка")</f>
        <v>Обложка</v>
      </c>
      <c r="V805" s="28" t="str">
        <f>HYPERLINK("https://znanium.ru/catalog/product/2132306", "Ознакомиться")</f>
        <v>Ознакомиться</v>
      </c>
      <c r="W805" s="8" t="s">
        <v>170</v>
      </c>
      <c r="X805" s="6"/>
      <c r="Y805" s="6"/>
      <c r="Z805" s="6"/>
      <c r="AA805" s="6" t="s">
        <v>115</v>
      </c>
    </row>
    <row r="806" spans="1:27" s="4" customFormat="1" ht="51.95" customHeight="1">
      <c r="A806" s="5">
        <v>0</v>
      </c>
      <c r="B806" s="6" t="s">
        <v>4474</v>
      </c>
      <c r="C806" s="13">
        <v>665.9</v>
      </c>
      <c r="D806" s="8" t="s">
        <v>4475</v>
      </c>
      <c r="E806" s="8" t="s">
        <v>4476</v>
      </c>
      <c r="F806" s="8" t="s">
        <v>4477</v>
      </c>
      <c r="G806" s="6" t="s">
        <v>51</v>
      </c>
      <c r="H806" s="6" t="s">
        <v>38</v>
      </c>
      <c r="I806" s="8"/>
      <c r="J806" s="9">
        <v>40</v>
      </c>
      <c r="K806" s="9">
        <v>160</v>
      </c>
      <c r="L806" s="9">
        <v>2020</v>
      </c>
      <c r="M806" s="8" t="s">
        <v>4478</v>
      </c>
      <c r="N806" s="8" t="s">
        <v>40</v>
      </c>
      <c r="O806" s="8" t="s">
        <v>41</v>
      </c>
      <c r="P806" s="6" t="s">
        <v>42</v>
      </c>
      <c r="Q806" s="8" t="s">
        <v>43</v>
      </c>
      <c r="R806" s="10" t="s">
        <v>4479</v>
      </c>
      <c r="S806" s="11"/>
      <c r="T806" s="6"/>
      <c r="U806" s="28" t="str">
        <f>HYPERLINK("https://media.infra-m.ru/1064/1064115/cover/1064115.jpg", "Обложка")</f>
        <v>Обложка</v>
      </c>
      <c r="V806" s="28" t="str">
        <f>HYPERLINK("https://znanium.ru/catalog/product/2107903", "Ознакомиться")</f>
        <v>Ознакомиться</v>
      </c>
      <c r="W806" s="8" t="s">
        <v>568</v>
      </c>
      <c r="X806" s="6"/>
      <c r="Y806" s="6"/>
      <c r="Z806" s="6"/>
      <c r="AA806" s="6" t="s">
        <v>2490</v>
      </c>
    </row>
    <row r="807" spans="1:27" s="4" customFormat="1" ht="51.95" customHeight="1">
      <c r="A807" s="5">
        <v>0</v>
      </c>
      <c r="B807" s="6" t="s">
        <v>4480</v>
      </c>
      <c r="C807" s="13">
        <v>936</v>
      </c>
      <c r="D807" s="8" t="s">
        <v>4481</v>
      </c>
      <c r="E807" s="8" t="s">
        <v>4482</v>
      </c>
      <c r="F807" s="8" t="s">
        <v>4477</v>
      </c>
      <c r="G807" s="6" t="s">
        <v>37</v>
      </c>
      <c r="H807" s="6" t="s">
        <v>38</v>
      </c>
      <c r="I807" s="8"/>
      <c r="J807" s="9">
        <v>1</v>
      </c>
      <c r="K807" s="9">
        <v>168</v>
      </c>
      <c r="L807" s="9">
        <v>2024</v>
      </c>
      <c r="M807" s="8" t="s">
        <v>4483</v>
      </c>
      <c r="N807" s="8" t="s">
        <v>40</v>
      </c>
      <c r="O807" s="8" t="s">
        <v>41</v>
      </c>
      <c r="P807" s="6" t="s">
        <v>42</v>
      </c>
      <c r="Q807" s="8" t="s">
        <v>300</v>
      </c>
      <c r="R807" s="10" t="s">
        <v>4479</v>
      </c>
      <c r="S807" s="11"/>
      <c r="T807" s="6"/>
      <c r="U807" s="28" t="str">
        <f>HYPERLINK("https://media.infra-m.ru/2107/2107903/cover/2107903.jpg", "Обложка")</f>
        <v>Обложка</v>
      </c>
      <c r="V807" s="28" t="str">
        <f>HYPERLINK("https://znanium.ru/catalog/product/2107903", "Ознакомиться")</f>
        <v>Ознакомиться</v>
      </c>
      <c r="W807" s="8" t="s">
        <v>568</v>
      </c>
      <c r="X807" s="6"/>
      <c r="Y807" s="6"/>
      <c r="Z807" s="6"/>
      <c r="AA807" s="6" t="s">
        <v>2485</v>
      </c>
    </row>
    <row r="808" spans="1:27" s="4" customFormat="1" ht="42" customHeight="1">
      <c r="A808" s="5">
        <v>0</v>
      </c>
      <c r="B808" s="6" t="s">
        <v>4484</v>
      </c>
      <c r="C808" s="7">
        <v>1386</v>
      </c>
      <c r="D808" s="8" t="s">
        <v>4485</v>
      </c>
      <c r="E808" s="8" t="s">
        <v>4486</v>
      </c>
      <c r="F808" s="8" t="s">
        <v>4487</v>
      </c>
      <c r="G808" s="6" t="s">
        <v>58</v>
      </c>
      <c r="H808" s="6" t="s">
        <v>38</v>
      </c>
      <c r="I808" s="8"/>
      <c r="J808" s="9">
        <v>1</v>
      </c>
      <c r="K808" s="9">
        <v>160</v>
      </c>
      <c r="L808" s="9">
        <v>2023</v>
      </c>
      <c r="M808" s="8" t="s">
        <v>4488</v>
      </c>
      <c r="N808" s="8" t="s">
        <v>40</v>
      </c>
      <c r="O808" s="8" t="s">
        <v>41</v>
      </c>
      <c r="P808" s="6" t="s">
        <v>42</v>
      </c>
      <c r="Q808" s="8" t="s">
        <v>43</v>
      </c>
      <c r="R808" s="10" t="s">
        <v>4489</v>
      </c>
      <c r="S808" s="11"/>
      <c r="T808" s="6"/>
      <c r="U808" s="28" t="str">
        <f>HYPERLINK("https://media.infra-m.ru/2088/2088676/cover/2088676.jpg", "Обложка")</f>
        <v>Обложка</v>
      </c>
      <c r="V808" s="28" t="str">
        <f>HYPERLINK("https://znanium.ru/catalog/product/2068208", "Ознакомиться")</f>
        <v>Ознакомиться</v>
      </c>
      <c r="W808" s="8" t="s">
        <v>1724</v>
      </c>
      <c r="X808" s="6"/>
      <c r="Y808" s="6"/>
      <c r="Z808" s="6"/>
      <c r="AA808" s="6" t="s">
        <v>417</v>
      </c>
    </row>
    <row r="809" spans="1:27" s="4" customFormat="1" ht="51.95" customHeight="1">
      <c r="A809" s="5">
        <v>0</v>
      </c>
      <c r="B809" s="6" t="s">
        <v>4490</v>
      </c>
      <c r="C809" s="7">
        <v>1776</v>
      </c>
      <c r="D809" s="8" t="s">
        <v>4491</v>
      </c>
      <c r="E809" s="8" t="s">
        <v>4492</v>
      </c>
      <c r="F809" s="8" t="s">
        <v>1353</v>
      </c>
      <c r="G809" s="6" t="s">
        <v>58</v>
      </c>
      <c r="H809" s="6" t="s">
        <v>38</v>
      </c>
      <c r="I809" s="8"/>
      <c r="J809" s="9">
        <v>1</v>
      </c>
      <c r="K809" s="9">
        <v>320</v>
      </c>
      <c r="L809" s="9">
        <v>2024</v>
      </c>
      <c r="M809" s="8" t="s">
        <v>4493</v>
      </c>
      <c r="N809" s="8" t="s">
        <v>40</v>
      </c>
      <c r="O809" s="8" t="s">
        <v>41</v>
      </c>
      <c r="P809" s="6" t="s">
        <v>75</v>
      </c>
      <c r="Q809" s="8" t="s">
        <v>76</v>
      </c>
      <c r="R809" s="10" t="s">
        <v>77</v>
      </c>
      <c r="S809" s="11"/>
      <c r="T809" s="6"/>
      <c r="U809" s="28" t="str">
        <f>HYPERLINK("https://media.infra-m.ru/2104/2104327/cover/2104327.jpg", "Обложка")</f>
        <v>Обложка</v>
      </c>
      <c r="V809" s="28" t="str">
        <f>HYPERLINK("https://znanium.ru/catalog/product/2104327", "Ознакомиться")</f>
        <v>Ознакомиться</v>
      </c>
      <c r="W809" s="8" t="s">
        <v>124</v>
      </c>
      <c r="X809" s="6" t="s">
        <v>391</v>
      </c>
      <c r="Y809" s="6"/>
      <c r="Z809" s="6"/>
      <c r="AA809" s="6" t="s">
        <v>392</v>
      </c>
    </row>
    <row r="810" spans="1:27" s="4" customFormat="1" ht="51.95" customHeight="1">
      <c r="A810" s="5">
        <v>0</v>
      </c>
      <c r="B810" s="6" t="s">
        <v>4494</v>
      </c>
      <c r="C810" s="7">
        <v>1320</v>
      </c>
      <c r="D810" s="8" t="s">
        <v>4495</v>
      </c>
      <c r="E810" s="8" t="s">
        <v>4496</v>
      </c>
      <c r="F810" s="8" t="s">
        <v>1353</v>
      </c>
      <c r="G810" s="6" t="s">
        <v>58</v>
      </c>
      <c r="H810" s="6" t="s">
        <v>38</v>
      </c>
      <c r="I810" s="8"/>
      <c r="J810" s="9">
        <v>1</v>
      </c>
      <c r="K810" s="9">
        <v>320</v>
      </c>
      <c r="L810" s="9">
        <v>2020</v>
      </c>
      <c r="M810" s="8" t="s">
        <v>4497</v>
      </c>
      <c r="N810" s="8" t="s">
        <v>40</v>
      </c>
      <c r="O810" s="8" t="s">
        <v>41</v>
      </c>
      <c r="P810" s="6" t="s">
        <v>75</v>
      </c>
      <c r="Q810" s="8" t="s">
        <v>76</v>
      </c>
      <c r="R810" s="10" t="s">
        <v>77</v>
      </c>
      <c r="S810" s="11"/>
      <c r="T810" s="6"/>
      <c r="U810" s="28" t="str">
        <f>HYPERLINK("https://media.infra-m.ru/1087/1087782/cover/1087782.jpg", "Обложка")</f>
        <v>Обложка</v>
      </c>
      <c r="V810" s="28" t="str">
        <f>HYPERLINK("https://znanium.ru/catalog/product/2104327", "Ознакомиться")</f>
        <v>Ознакомиться</v>
      </c>
      <c r="W810" s="8" t="s">
        <v>124</v>
      </c>
      <c r="X810" s="6"/>
      <c r="Y810" s="6"/>
      <c r="Z810" s="6"/>
      <c r="AA810" s="6" t="s">
        <v>115</v>
      </c>
    </row>
    <row r="811" spans="1:27" s="4" customFormat="1" ht="51.95" customHeight="1">
      <c r="A811" s="5">
        <v>0</v>
      </c>
      <c r="B811" s="6" t="s">
        <v>4498</v>
      </c>
      <c r="C811" s="7">
        <v>1164</v>
      </c>
      <c r="D811" s="8" t="s">
        <v>4499</v>
      </c>
      <c r="E811" s="8" t="s">
        <v>4500</v>
      </c>
      <c r="F811" s="8" t="s">
        <v>4501</v>
      </c>
      <c r="G811" s="6" t="s">
        <v>37</v>
      </c>
      <c r="H811" s="6" t="s">
        <v>84</v>
      </c>
      <c r="I811" s="8" t="s">
        <v>1173</v>
      </c>
      <c r="J811" s="9">
        <v>1</v>
      </c>
      <c r="K811" s="9">
        <v>193</v>
      </c>
      <c r="L811" s="9">
        <v>2023</v>
      </c>
      <c r="M811" s="8" t="s">
        <v>4502</v>
      </c>
      <c r="N811" s="8" t="s">
        <v>40</v>
      </c>
      <c r="O811" s="8" t="s">
        <v>41</v>
      </c>
      <c r="P811" s="6" t="s">
        <v>95</v>
      </c>
      <c r="Q811" s="8" t="s">
        <v>1231</v>
      </c>
      <c r="R811" s="10" t="s">
        <v>3138</v>
      </c>
      <c r="S811" s="11" t="s">
        <v>4503</v>
      </c>
      <c r="T811" s="6"/>
      <c r="U811" s="28" t="str">
        <f>HYPERLINK("https://media.infra-m.ru/2053/2053182/cover/2053182.jpg", "Обложка")</f>
        <v>Обложка</v>
      </c>
      <c r="V811" s="28" t="str">
        <f>HYPERLINK("https://znanium.ru/catalog/product/1893886", "Ознакомиться")</f>
        <v>Ознакомиться</v>
      </c>
      <c r="W811" s="8" t="s">
        <v>2958</v>
      </c>
      <c r="X811" s="6"/>
      <c r="Y811" s="6"/>
      <c r="Z811" s="6"/>
      <c r="AA811" s="6" t="s">
        <v>417</v>
      </c>
    </row>
    <row r="812" spans="1:27" s="4" customFormat="1" ht="44.1" customHeight="1">
      <c r="A812" s="5">
        <v>0</v>
      </c>
      <c r="B812" s="6" t="s">
        <v>4504</v>
      </c>
      <c r="C812" s="7">
        <v>1044</v>
      </c>
      <c r="D812" s="8" t="s">
        <v>4505</v>
      </c>
      <c r="E812" s="8" t="s">
        <v>4506</v>
      </c>
      <c r="F812" s="8" t="s">
        <v>4507</v>
      </c>
      <c r="G812" s="6" t="s">
        <v>51</v>
      </c>
      <c r="H812" s="6" t="s">
        <v>84</v>
      </c>
      <c r="I812" s="8" t="s">
        <v>85</v>
      </c>
      <c r="J812" s="9">
        <v>1</v>
      </c>
      <c r="K812" s="9">
        <v>240</v>
      </c>
      <c r="L812" s="9">
        <v>2021</v>
      </c>
      <c r="M812" s="8" t="s">
        <v>4508</v>
      </c>
      <c r="N812" s="8" t="s">
        <v>40</v>
      </c>
      <c r="O812" s="8" t="s">
        <v>41</v>
      </c>
      <c r="P812" s="6" t="s">
        <v>42</v>
      </c>
      <c r="Q812" s="8" t="s">
        <v>43</v>
      </c>
      <c r="R812" s="10" t="s">
        <v>1923</v>
      </c>
      <c r="S812" s="11"/>
      <c r="T812" s="6"/>
      <c r="U812" s="28" t="str">
        <f>HYPERLINK("https://media.infra-m.ru/1227/1227527/cover/1227527.jpg", "Обложка")</f>
        <v>Обложка</v>
      </c>
      <c r="V812" s="28" t="str">
        <f>HYPERLINK("https://znanium.ru/catalog/product/1227527", "Ознакомиться")</f>
        <v>Ознакомиться</v>
      </c>
      <c r="W812" s="8" t="s">
        <v>45</v>
      </c>
      <c r="X812" s="6"/>
      <c r="Y812" s="6"/>
      <c r="Z812" s="6"/>
      <c r="AA812" s="6" t="s">
        <v>148</v>
      </c>
    </row>
    <row r="813" spans="1:27" s="4" customFormat="1" ht="44.1" customHeight="1">
      <c r="A813" s="5">
        <v>0</v>
      </c>
      <c r="B813" s="6" t="s">
        <v>4509</v>
      </c>
      <c r="C813" s="13">
        <v>633.6</v>
      </c>
      <c r="D813" s="8" t="s">
        <v>4510</v>
      </c>
      <c r="E813" s="8" t="s">
        <v>4511</v>
      </c>
      <c r="F813" s="8" t="s">
        <v>4512</v>
      </c>
      <c r="G813" s="6" t="s">
        <v>51</v>
      </c>
      <c r="H813" s="6" t="s">
        <v>38</v>
      </c>
      <c r="I813" s="8"/>
      <c r="J813" s="9">
        <v>1</v>
      </c>
      <c r="K813" s="9">
        <v>84</v>
      </c>
      <c r="L813" s="9">
        <v>2024</v>
      </c>
      <c r="M813" s="8" t="s">
        <v>4513</v>
      </c>
      <c r="N813" s="8" t="s">
        <v>40</v>
      </c>
      <c r="O813" s="8" t="s">
        <v>41</v>
      </c>
      <c r="P813" s="6" t="s">
        <v>42</v>
      </c>
      <c r="Q813" s="8" t="s">
        <v>43</v>
      </c>
      <c r="R813" s="10" t="s">
        <v>1696</v>
      </c>
      <c r="S813" s="11"/>
      <c r="T813" s="6"/>
      <c r="U813" s="28" t="str">
        <f>HYPERLINK("https://media.infra-m.ru/2124/2124910/cover/2124910.jpg", "Обложка")</f>
        <v>Обложка</v>
      </c>
      <c r="V813" s="28" t="str">
        <f>HYPERLINK("https://znanium.ru/catalog/product/2106209", "Ознакомиться")</f>
        <v>Ознакомиться</v>
      </c>
      <c r="W813" s="8" t="s">
        <v>45</v>
      </c>
      <c r="X813" s="6"/>
      <c r="Y813" s="6"/>
      <c r="Z813" s="6"/>
      <c r="AA813" s="6" t="s">
        <v>100</v>
      </c>
    </row>
    <row r="814" spans="1:27" s="4" customFormat="1" ht="51.95" customHeight="1">
      <c r="A814" s="5">
        <v>0</v>
      </c>
      <c r="B814" s="6" t="s">
        <v>4514</v>
      </c>
      <c r="C814" s="7">
        <v>1080</v>
      </c>
      <c r="D814" s="8" t="s">
        <v>4515</v>
      </c>
      <c r="E814" s="8" t="s">
        <v>4516</v>
      </c>
      <c r="F814" s="8" t="s">
        <v>4517</v>
      </c>
      <c r="G814" s="6" t="s">
        <v>37</v>
      </c>
      <c r="H814" s="6" t="s">
        <v>84</v>
      </c>
      <c r="I814" s="8" t="s">
        <v>1173</v>
      </c>
      <c r="J814" s="9">
        <v>1</v>
      </c>
      <c r="K814" s="9">
        <v>185</v>
      </c>
      <c r="L814" s="9">
        <v>2024</v>
      </c>
      <c r="M814" s="8" t="s">
        <v>4518</v>
      </c>
      <c r="N814" s="8" t="s">
        <v>40</v>
      </c>
      <c r="O814" s="8" t="s">
        <v>41</v>
      </c>
      <c r="P814" s="6" t="s">
        <v>75</v>
      </c>
      <c r="Q814" s="8" t="s">
        <v>1231</v>
      </c>
      <c r="R814" s="10" t="s">
        <v>4519</v>
      </c>
      <c r="S814" s="11" t="s">
        <v>4520</v>
      </c>
      <c r="T814" s="6"/>
      <c r="U814" s="28" t="str">
        <f>HYPERLINK("https://media.infra-m.ru/2121/2121605/cover/2121605.jpg", "Обложка")</f>
        <v>Обложка</v>
      </c>
      <c r="V814" s="28" t="str">
        <f>HYPERLINK("https://znanium.ru/catalog/product/2121605", "Ознакомиться")</f>
        <v>Ознакомиться</v>
      </c>
      <c r="W814" s="8" t="s">
        <v>4521</v>
      </c>
      <c r="X814" s="6"/>
      <c r="Y814" s="6"/>
      <c r="Z814" s="6"/>
      <c r="AA814" s="6" t="s">
        <v>353</v>
      </c>
    </row>
    <row r="815" spans="1:27" s="4" customFormat="1" ht="51.95" customHeight="1">
      <c r="A815" s="5">
        <v>0</v>
      </c>
      <c r="B815" s="6" t="s">
        <v>4522</v>
      </c>
      <c r="C815" s="13">
        <v>852</v>
      </c>
      <c r="D815" s="8" t="s">
        <v>4523</v>
      </c>
      <c r="E815" s="8" t="s">
        <v>4516</v>
      </c>
      <c r="F815" s="8" t="s">
        <v>4517</v>
      </c>
      <c r="G815" s="6" t="s">
        <v>58</v>
      </c>
      <c r="H815" s="6" t="s">
        <v>84</v>
      </c>
      <c r="I815" s="8" t="s">
        <v>93</v>
      </c>
      <c r="J815" s="9">
        <v>1</v>
      </c>
      <c r="K815" s="9">
        <v>185</v>
      </c>
      <c r="L815" s="9">
        <v>2022</v>
      </c>
      <c r="M815" s="8" t="s">
        <v>4524</v>
      </c>
      <c r="N815" s="8" t="s">
        <v>40</v>
      </c>
      <c r="O815" s="8" t="s">
        <v>41</v>
      </c>
      <c r="P815" s="6" t="s">
        <v>75</v>
      </c>
      <c r="Q815" s="8" t="s">
        <v>96</v>
      </c>
      <c r="R815" s="10" t="s">
        <v>3046</v>
      </c>
      <c r="S815" s="11" t="s">
        <v>4525</v>
      </c>
      <c r="T815" s="6"/>
      <c r="U815" s="28" t="str">
        <f>HYPERLINK("https://media.infra-m.ru/1853/1853811/cover/1853811.jpg", "Обложка")</f>
        <v>Обложка</v>
      </c>
      <c r="V815" s="28" t="str">
        <f>HYPERLINK("https://znanium.ru/catalog/product/1853811", "Ознакомиться")</f>
        <v>Ознакомиться</v>
      </c>
      <c r="W815" s="8" t="s">
        <v>4521</v>
      </c>
      <c r="X815" s="6"/>
      <c r="Y815" s="6"/>
      <c r="Z815" s="6" t="s">
        <v>4526</v>
      </c>
      <c r="AA815" s="6" t="s">
        <v>353</v>
      </c>
    </row>
    <row r="816" spans="1:27" s="4" customFormat="1" ht="51.95" customHeight="1">
      <c r="A816" s="5">
        <v>0</v>
      </c>
      <c r="B816" s="6" t="s">
        <v>4527</v>
      </c>
      <c r="C816" s="7">
        <v>1728</v>
      </c>
      <c r="D816" s="8" t="s">
        <v>4528</v>
      </c>
      <c r="E816" s="8" t="s">
        <v>4529</v>
      </c>
      <c r="F816" s="8" t="s">
        <v>1873</v>
      </c>
      <c r="G816" s="6" t="s">
        <v>37</v>
      </c>
      <c r="H816" s="6" t="s">
        <v>38</v>
      </c>
      <c r="I816" s="8"/>
      <c r="J816" s="9">
        <v>1</v>
      </c>
      <c r="K816" s="9">
        <v>320</v>
      </c>
      <c r="L816" s="9">
        <v>2023</v>
      </c>
      <c r="M816" s="8" t="s">
        <v>4530</v>
      </c>
      <c r="N816" s="8" t="s">
        <v>40</v>
      </c>
      <c r="O816" s="8" t="s">
        <v>41</v>
      </c>
      <c r="P816" s="6" t="s">
        <v>299</v>
      </c>
      <c r="Q816" s="8" t="s">
        <v>43</v>
      </c>
      <c r="R816" s="10" t="s">
        <v>2333</v>
      </c>
      <c r="S816" s="11"/>
      <c r="T816" s="6"/>
      <c r="U816" s="28" t="str">
        <f>HYPERLINK("https://media.infra-m.ru/1898/1898756/cover/1898756.jpg", "Обложка")</f>
        <v>Обложка</v>
      </c>
      <c r="V816" s="28" t="str">
        <f>HYPERLINK("https://znanium.ru/catalog/product/1898756", "Ознакомиться")</f>
        <v>Ознакомиться</v>
      </c>
      <c r="W816" s="8" t="s">
        <v>114</v>
      </c>
      <c r="X816" s="6"/>
      <c r="Y816" s="6"/>
      <c r="Z816" s="6"/>
      <c r="AA816" s="6" t="s">
        <v>62</v>
      </c>
    </row>
    <row r="817" spans="1:27" s="4" customFormat="1" ht="51.95" customHeight="1">
      <c r="A817" s="5">
        <v>0</v>
      </c>
      <c r="B817" s="6" t="s">
        <v>4531</v>
      </c>
      <c r="C817" s="7">
        <v>1386</v>
      </c>
      <c r="D817" s="8" t="s">
        <v>4532</v>
      </c>
      <c r="E817" s="8" t="s">
        <v>4533</v>
      </c>
      <c r="F817" s="8" t="s">
        <v>4534</v>
      </c>
      <c r="G817" s="6" t="s">
        <v>51</v>
      </c>
      <c r="H817" s="6" t="s">
        <v>38</v>
      </c>
      <c r="I817" s="8"/>
      <c r="J817" s="9">
        <v>1</v>
      </c>
      <c r="K817" s="9">
        <v>120</v>
      </c>
      <c r="L817" s="9">
        <v>2023</v>
      </c>
      <c r="M817" s="8" t="s">
        <v>4535</v>
      </c>
      <c r="N817" s="8" t="s">
        <v>40</v>
      </c>
      <c r="O817" s="8" t="s">
        <v>41</v>
      </c>
      <c r="P817" s="6" t="s">
        <v>42</v>
      </c>
      <c r="Q817" s="8" t="s">
        <v>43</v>
      </c>
      <c r="R817" s="10" t="s">
        <v>4536</v>
      </c>
      <c r="S817" s="11"/>
      <c r="T817" s="6"/>
      <c r="U817" s="28" t="str">
        <f>HYPERLINK("https://media.infra-m.ru/1911/1911597/cover/1911597.jpg", "Обложка")</f>
        <v>Обложка</v>
      </c>
      <c r="V817" s="28" t="str">
        <f>HYPERLINK("https://znanium.ru/catalog/product/1897639", "Ознакомиться")</f>
        <v>Ознакомиться</v>
      </c>
      <c r="W817" s="8"/>
      <c r="X817" s="6"/>
      <c r="Y817" s="6"/>
      <c r="Z817" s="6"/>
      <c r="AA817" s="6" t="s">
        <v>417</v>
      </c>
    </row>
    <row r="818" spans="1:27" s="4" customFormat="1" ht="42" customHeight="1">
      <c r="A818" s="5">
        <v>0</v>
      </c>
      <c r="B818" s="6" t="s">
        <v>4537</v>
      </c>
      <c r="C818" s="13">
        <v>432</v>
      </c>
      <c r="D818" s="8" t="s">
        <v>4538</v>
      </c>
      <c r="E818" s="8" t="s">
        <v>4539</v>
      </c>
      <c r="F818" s="8" t="s">
        <v>829</v>
      </c>
      <c r="G818" s="6" t="s">
        <v>51</v>
      </c>
      <c r="H818" s="6" t="s">
        <v>84</v>
      </c>
      <c r="I818" s="8" t="s">
        <v>831</v>
      </c>
      <c r="J818" s="9">
        <v>1</v>
      </c>
      <c r="K818" s="9">
        <v>98</v>
      </c>
      <c r="L818" s="9">
        <v>2021</v>
      </c>
      <c r="M818" s="8" t="s">
        <v>4540</v>
      </c>
      <c r="N818" s="8" t="s">
        <v>40</v>
      </c>
      <c r="O818" s="8" t="s">
        <v>41</v>
      </c>
      <c r="P818" s="6" t="s">
        <v>833</v>
      </c>
      <c r="Q818" s="8" t="s">
        <v>43</v>
      </c>
      <c r="R818" s="10" t="s">
        <v>4541</v>
      </c>
      <c r="S818" s="11"/>
      <c r="T818" s="6"/>
      <c r="U818" s="28" t="str">
        <f>HYPERLINK("https://media.infra-m.ru/1455/1455885/cover/1455885.jpg", "Обложка")</f>
        <v>Обложка</v>
      </c>
      <c r="V818" s="28" t="str">
        <f>HYPERLINK("https://znanium.ru/catalog/product/1962499", "Ознакомиться")</f>
        <v>Ознакомиться</v>
      </c>
      <c r="W818" s="8"/>
      <c r="X818" s="6"/>
      <c r="Y818" s="6"/>
      <c r="Z818" s="6"/>
      <c r="AA818" s="6" t="s">
        <v>2394</v>
      </c>
    </row>
    <row r="819" spans="1:27" s="4" customFormat="1" ht="42" customHeight="1">
      <c r="A819" s="5">
        <v>0</v>
      </c>
      <c r="B819" s="6" t="s">
        <v>4542</v>
      </c>
      <c r="C819" s="13">
        <v>540</v>
      </c>
      <c r="D819" s="8" t="s">
        <v>4543</v>
      </c>
      <c r="E819" s="8" t="s">
        <v>4544</v>
      </c>
      <c r="F819" s="8" t="s">
        <v>829</v>
      </c>
      <c r="G819" s="6" t="s">
        <v>51</v>
      </c>
      <c r="H819" s="6" t="s">
        <v>84</v>
      </c>
      <c r="I819" s="8" t="s">
        <v>831</v>
      </c>
      <c r="J819" s="9">
        <v>1</v>
      </c>
      <c r="K819" s="9">
        <v>104</v>
      </c>
      <c r="L819" s="9">
        <v>2023</v>
      </c>
      <c r="M819" s="8" t="s">
        <v>4545</v>
      </c>
      <c r="N819" s="8" t="s">
        <v>40</v>
      </c>
      <c r="O819" s="8" t="s">
        <v>41</v>
      </c>
      <c r="P819" s="6" t="s">
        <v>833</v>
      </c>
      <c r="Q819" s="8" t="s">
        <v>43</v>
      </c>
      <c r="R819" s="10" t="s">
        <v>4541</v>
      </c>
      <c r="S819" s="11"/>
      <c r="T819" s="6"/>
      <c r="U819" s="28" t="str">
        <f>HYPERLINK("https://media.infra-m.ru/1962/1962499/cover/1962499.jpg", "Обложка")</f>
        <v>Обложка</v>
      </c>
      <c r="V819" s="28" t="str">
        <f>HYPERLINK("https://znanium.ru/catalog/product/1962499", "Ознакомиться")</f>
        <v>Ознакомиться</v>
      </c>
      <c r="W819" s="8"/>
      <c r="X819" s="6"/>
      <c r="Y819" s="6"/>
      <c r="Z819" s="6"/>
      <c r="AA819" s="6" t="s">
        <v>4546</v>
      </c>
    </row>
    <row r="820" spans="1:27" s="4" customFormat="1" ht="42" customHeight="1">
      <c r="A820" s="5">
        <v>0</v>
      </c>
      <c r="B820" s="6" t="s">
        <v>4547</v>
      </c>
      <c r="C820" s="13">
        <v>456</v>
      </c>
      <c r="D820" s="8" t="s">
        <v>4548</v>
      </c>
      <c r="E820" s="8" t="s">
        <v>4549</v>
      </c>
      <c r="F820" s="8"/>
      <c r="G820" s="6" t="s">
        <v>51</v>
      </c>
      <c r="H820" s="6" t="s">
        <v>84</v>
      </c>
      <c r="I820" s="8" t="s">
        <v>831</v>
      </c>
      <c r="J820" s="9">
        <v>1</v>
      </c>
      <c r="K820" s="9">
        <v>98</v>
      </c>
      <c r="L820" s="9">
        <v>2021</v>
      </c>
      <c r="M820" s="8" t="s">
        <v>4550</v>
      </c>
      <c r="N820" s="8" t="s">
        <v>40</v>
      </c>
      <c r="O820" s="8" t="s">
        <v>41</v>
      </c>
      <c r="P820" s="6" t="s">
        <v>833</v>
      </c>
      <c r="Q820" s="8" t="s">
        <v>43</v>
      </c>
      <c r="R820" s="10" t="s">
        <v>4541</v>
      </c>
      <c r="S820" s="11"/>
      <c r="T820" s="6"/>
      <c r="U820" s="28" t="str">
        <f>HYPERLINK("https://media.infra-m.ru/1814/1814619/cover/1814619.jpg", "Обложка")</f>
        <v>Обложка</v>
      </c>
      <c r="V820" s="28" t="str">
        <f>HYPERLINK("https://znanium.ru/catalog/product/1962499", "Ознакомиться")</f>
        <v>Ознакомиться</v>
      </c>
      <c r="W820" s="8"/>
      <c r="X820" s="6"/>
      <c r="Y820" s="6"/>
      <c r="Z820" s="6"/>
      <c r="AA820" s="6" t="s">
        <v>2338</v>
      </c>
    </row>
    <row r="821" spans="1:27" s="4" customFormat="1" ht="42" customHeight="1">
      <c r="A821" s="5">
        <v>0</v>
      </c>
      <c r="B821" s="6" t="s">
        <v>4551</v>
      </c>
      <c r="C821" s="13">
        <v>504</v>
      </c>
      <c r="D821" s="8" t="s">
        <v>4552</v>
      </c>
      <c r="E821" s="8" t="s">
        <v>4553</v>
      </c>
      <c r="F821" s="8" t="s">
        <v>829</v>
      </c>
      <c r="G821" s="6" t="s">
        <v>51</v>
      </c>
      <c r="H821" s="6" t="s">
        <v>84</v>
      </c>
      <c r="I821" s="8" t="s">
        <v>831</v>
      </c>
      <c r="J821" s="9">
        <v>1</v>
      </c>
      <c r="K821" s="9">
        <v>100</v>
      </c>
      <c r="L821" s="9">
        <v>2022</v>
      </c>
      <c r="M821" s="8" t="s">
        <v>4554</v>
      </c>
      <c r="N821" s="8" t="s">
        <v>40</v>
      </c>
      <c r="O821" s="8" t="s">
        <v>41</v>
      </c>
      <c r="P821" s="6" t="s">
        <v>833</v>
      </c>
      <c r="Q821" s="8" t="s">
        <v>43</v>
      </c>
      <c r="R821" s="10" t="s">
        <v>4541</v>
      </c>
      <c r="S821" s="11"/>
      <c r="T821" s="6"/>
      <c r="U821" s="28" t="str">
        <f>HYPERLINK("https://media.infra-m.ru/1866/1866823/cover/1866823.jpg", "Обложка")</f>
        <v>Обложка</v>
      </c>
      <c r="V821" s="28" t="str">
        <f>HYPERLINK("https://znanium.ru/catalog/product/1962499", "Ознакомиться")</f>
        <v>Ознакомиться</v>
      </c>
      <c r="W821" s="8"/>
      <c r="X821" s="6"/>
      <c r="Y821" s="6"/>
      <c r="Z821" s="6"/>
      <c r="AA821" s="6" t="s">
        <v>4555</v>
      </c>
    </row>
    <row r="822" spans="1:27" s="4" customFormat="1" ht="42" customHeight="1">
      <c r="A822" s="5">
        <v>0</v>
      </c>
      <c r="B822" s="6" t="s">
        <v>4556</v>
      </c>
      <c r="C822" s="13">
        <v>468</v>
      </c>
      <c r="D822" s="8" t="s">
        <v>4557</v>
      </c>
      <c r="E822" s="8" t="s">
        <v>4558</v>
      </c>
      <c r="F822" s="8"/>
      <c r="G822" s="6" t="s">
        <v>51</v>
      </c>
      <c r="H822" s="6" t="s">
        <v>84</v>
      </c>
      <c r="I822" s="8" t="s">
        <v>831</v>
      </c>
      <c r="J822" s="9">
        <v>1</v>
      </c>
      <c r="K822" s="9">
        <v>98</v>
      </c>
      <c r="L822" s="9">
        <v>2022</v>
      </c>
      <c r="M822" s="8" t="s">
        <v>4559</v>
      </c>
      <c r="N822" s="8" t="s">
        <v>40</v>
      </c>
      <c r="O822" s="8" t="s">
        <v>41</v>
      </c>
      <c r="P822" s="6" t="s">
        <v>833</v>
      </c>
      <c r="Q822" s="8" t="s">
        <v>43</v>
      </c>
      <c r="R822" s="10" t="s">
        <v>4541</v>
      </c>
      <c r="S822" s="11"/>
      <c r="T822" s="6"/>
      <c r="U822" s="28" t="str">
        <f>HYPERLINK("https://media.infra-m.ru/1844/1844856/cover/1844856.jpg", "Обложка")</f>
        <v>Обложка</v>
      </c>
      <c r="V822" s="28" t="str">
        <f>HYPERLINK("https://znanium.ru/catalog/product/1962499", "Ознакомиться")</f>
        <v>Ознакомиться</v>
      </c>
      <c r="W822" s="8"/>
      <c r="X822" s="6"/>
      <c r="Y822" s="6"/>
      <c r="Z822" s="6"/>
      <c r="AA822" s="6" t="s">
        <v>2649</v>
      </c>
    </row>
    <row r="823" spans="1:27" s="4" customFormat="1" ht="42" customHeight="1">
      <c r="A823" s="5">
        <v>0</v>
      </c>
      <c r="B823" s="6" t="s">
        <v>4560</v>
      </c>
      <c r="C823" s="7">
        <v>1212</v>
      </c>
      <c r="D823" s="8" t="s">
        <v>4561</v>
      </c>
      <c r="E823" s="8" t="s">
        <v>4562</v>
      </c>
      <c r="F823" s="8" t="s">
        <v>4563</v>
      </c>
      <c r="G823" s="6" t="s">
        <v>37</v>
      </c>
      <c r="H823" s="6" t="s">
        <v>84</v>
      </c>
      <c r="I823" s="8" t="s">
        <v>250</v>
      </c>
      <c r="J823" s="9">
        <v>1</v>
      </c>
      <c r="K823" s="9">
        <v>224</v>
      </c>
      <c r="L823" s="9">
        <v>2023</v>
      </c>
      <c r="M823" s="8" t="s">
        <v>4564</v>
      </c>
      <c r="N823" s="8" t="s">
        <v>40</v>
      </c>
      <c r="O823" s="8" t="s">
        <v>41</v>
      </c>
      <c r="P823" s="6" t="s">
        <v>42</v>
      </c>
      <c r="Q823" s="8" t="s">
        <v>43</v>
      </c>
      <c r="R823" s="10" t="s">
        <v>314</v>
      </c>
      <c r="S823" s="11"/>
      <c r="T823" s="6"/>
      <c r="U823" s="28" t="str">
        <f>HYPERLINK("https://media.infra-m.ru/1969/1969538/cover/1969538.jpg", "Обложка")</f>
        <v>Обложка</v>
      </c>
      <c r="V823" s="28" t="str">
        <f>HYPERLINK("https://znanium.ru/catalog/product/1969538", "Ознакомиться")</f>
        <v>Ознакомиться</v>
      </c>
      <c r="W823" s="8" t="s">
        <v>4565</v>
      </c>
      <c r="X823" s="6"/>
      <c r="Y823" s="6"/>
      <c r="Z823" s="6"/>
      <c r="AA823" s="6" t="s">
        <v>171</v>
      </c>
    </row>
    <row r="824" spans="1:27" s="4" customFormat="1" ht="42" customHeight="1">
      <c r="A824" s="5">
        <v>0</v>
      </c>
      <c r="B824" s="6" t="s">
        <v>4566</v>
      </c>
      <c r="C824" s="13">
        <v>900</v>
      </c>
      <c r="D824" s="8" t="s">
        <v>4567</v>
      </c>
      <c r="E824" s="8" t="s">
        <v>4568</v>
      </c>
      <c r="F824" s="8" t="s">
        <v>626</v>
      </c>
      <c r="G824" s="6" t="s">
        <v>51</v>
      </c>
      <c r="H824" s="6" t="s">
        <v>38</v>
      </c>
      <c r="I824" s="8"/>
      <c r="J824" s="9">
        <v>1</v>
      </c>
      <c r="K824" s="9">
        <v>166</v>
      </c>
      <c r="L824" s="9">
        <v>2023</v>
      </c>
      <c r="M824" s="8" t="s">
        <v>4569</v>
      </c>
      <c r="N824" s="8" t="s">
        <v>40</v>
      </c>
      <c r="O824" s="8" t="s">
        <v>41</v>
      </c>
      <c r="P824" s="6" t="s">
        <v>42</v>
      </c>
      <c r="Q824" s="8" t="s">
        <v>43</v>
      </c>
      <c r="R824" s="10" t="s">
        <v>113</v>
      </c>
      <c r="S824" s="11"/>
      <c r="T824" s="6"/>
      <c r="U824" s="28" t="str">
        <f>HYPERLINK("https://media.infra-m.ru/1893/1893872/cover/1893872.jpg", "Обложка")</f>
        <v>Обложка</v>
      </c>
      <c r="V824" s="28" t="str">
        <f>HYPERLINK("https://znanium.ru/catalog/product/1893872", "Ознакомиться")</f>
        <v>Ознакомиться</v>
      </c>
      <c r="W824" s="8" t="s">
        <v>114</v>
      </c>
      <c r="X824" s="6"/>
      <c r="Y824" s="6"/>
      <c r="Z824" s="6"/>
      <c r="AA824" s="6" t="s">
        <v>148</v>
      </c>
    </row>
    <row r="825" spans="1:27" s="4" customFormat="1" ht="51.95" customHeight="1">
      <c r="A825" s="5">
        <v>0</v>
      </c>
      <c r="B825" s="6" t="s">
        <v>4570</v>
      </c>
      <c r="C825" s="7">
        <v>1301.9000000000001</v>
      </c>
      <c r="D825" s="8" t="s">
        <v>4571</v>
      </c>
      <c r="E825" s="8" t="s">
        <v>4572</v>
      </c>
      <c r="F825" s="8" t="s">
        <v>3225</v>
      </c>
      <c r="G825" s="6" t="s">
        <v>51</v>
      </c>
      <c r="H825" s="6" t="s">
        <v>38</v>
      </c>
      <c r="I825" s="8"/>
      <c r="J825" s="9">
        <v>1</v>
      </c>
      <c r="K825" s="9">
        <v>240</v>
      </c>
      <c r="L825" s="9">
        <v>2022</v>
      </c>
      <c r="M825" s="8" t="s">
        <v>4573</v>
      </c>
      <c r="N825" s="8" t="s">
        <v>40</v>
      </c>
      <c r="O825" s="8" t="s">
        <v>41</v>
      </c>
      <c r="P825" s="6" t="s">
        <v>42</v>
      </c>
      <c r="Q825" s="8" t="s">
        <v>43</v>
      </c>
      <c r="R825" s="10" t="s">
        <v>469</v>
      </c>
      <c r="S825" s="11"/>
      <c r="T825" s="6"/>
      <c r="U825" s="28" t="str">
        <f>HYPERLINK("https://media.infra-m.ru/1913/1913519/cover/1913519.jpg", "Обложка")</f>
        <v>Обложка</v>
      </c>
      <c r="V825" s="28" t="str">
        <f>HYPERLINK("https://znanium.ru/catalog/product/1902900", "Ознакомиться")</f>
        <v>Ознакомиться</v>
      </c>
      <c r="W825" s="8" t="s">
        <v>3228</v>
      </c>
      <c r="X825" s="6"/>
      <c r="Y825" s="6"/>
      <c r="Z825" s="6"/>
      <c r="AA825" s="6" t="s">
        <v>431</v>
      </c>
    </row>
    <row r="826" spans="1:27" s="4" customFormat="1" ht="44.1" customHeight="1">
      <c r="A826" s="5">
        <v>0</v>
      </c>
      <c r="B826" s="6" t="s">
        <v>4574</v>
      </c>
      <c r="C826" s="13">
        <v>708</v>
      </c>
      <c r="D826" s="8" t="s">
        <v>4575</v>
      </c>
      <c r="E826" s="8" t="s">
        <v>4576</v>
      </c>
      <c r="F826" s="8" t="s">
        <v>829</v>
      </c>
      <c r="G826" s="6" t="s">
        <v>51</v>
      </c>
      <c r="H826" s="6" t="s">
        <v>84</v>
      </c>
      <c r="I826" s="8"/>
      <c r="J826" s="9">
        <v>1</v>
      </c>
      <c r="K826" s="9">
        <v>108</v>
      </c>
      <c r="L826" s="9">
        <v>2024</v>
      </c>
      <c r="M826" s="8" t="s">
        <v>4577</v>
      </c>
      <c r="N826" s="8" t="s">
        <v>40</v>
      </c>
      <c r="O826" s="8" t="s">
        <v>41</v>
      </c>
      <c r="P826" s="6" t="s">
        <v>3929</v>
      </c>
      <c r="Q826" s="8" t="s">
        <v>43</v>
      </c>
      <c r="R826" s="10" t="s">
        <v>4578</v>
      </c>
      <c r="S826" s="11"/>
      <c r="T826" s="6"/>
      <c r="U826" s="28" t="str">
        <f>HYPERLINK("https://media.infra-m.ru/2139/2139779/cover/2139779.jpg", "Обложка")</f>
        <v>Обложка</v>
      </c>
      <c r="V826" s="28" t="str">
        <f>HYPERLINK("https://znanium.ru/catalog/product/2139779", "Ознакомиться")</f>
        <v>Ознакомиться</v>
      </c>
      <c r="W826" s="8"/>
      <c r="X826" s="6"/>
      <c r="Y826" s="6"/>
      <c r="Z826" s="6"/>
      <c r="AA826" s="6" t="s">
        <v>100</v>
      </c>
    </row>
    <row r="827" spans="1:27" s="4" customFormat="1" ht="51.95" customHeight="1">
      <c r="A827" s="5">
        <v>0</v>
      </c>
      <c r="B827" s="6" t="s">
        <v>4579</v>
      </c>
      <c r="C827" s="7">
        <v>1320</v>
      </c>
      <c r="D827" s="8" t="s">
        <v>4580</v>
      </c>
      <c r="E827" s="8" t="s">
        <v>4581</v>
      </c>
      <c r="F827" s="8" t="s">
        <v>4582</v>
      </c>
      <c r="G827" s="6" t="s">
        <v>58</v>
      </c>
      <c r="H827" s="6" t="s">
        <v>84</v>
      </c>
      <c r="I827" s="8" t="s">
        <v>250</v>
      </c>
      <c r="J827" s="9">
        <v>1</v>
      </c>
      <c r="K827" s="9">
        <v>238</v>
      </c>
      <c r="L827" s="9">
        <v>2023</v>
      </c>
      <c r="M827" s="8" t="s">
        <v>4583</v>
      </c>
      <c r="N827" s="8" t="s">
        <v>40</v>
      </c>
      <c r="O827" s="8" t="s">
        <v>41</v>
      </c>
      <c r="P827" s="6" t="s">
        <v>42</v>
      </c>
      <c r="Q827" s="8" t="s">
        <v>43</v>
      </c>
      <c r="R827" s="10" t="s">
        <v>617</v>
      </c>
      <c r="S827" s="11"/>
      <c r="T827" s="6"/>
      <c r="U827" s="28" t="str">
        <f>HYPERLINK("https://media.infra-m.ru/2132/2132161/cover/2132161.jpg", "Обложка")</f>
        <v>Обложка</v>
      </c>
      <c r="V827" s="12"/>
      <c r="W827" s="8" t="s">
        <v>114</v>
      </c>
      <c r="X827" s="6"/>
      <c r="Y827" s="6"/>
      <c r="Z827" s="6"/>
      <c r="AA827" s="6" t="s">
        <v>417</v>
      </c>
    </row>
    <row r="828" spans="1:27" s="4" customFormat="1" ht="51.95" customHeight="1">
      <c r="A828" s="5">
        <v>0</v>
      </c>
      <c r="B828" s="6" t="s">
        <v>4584</v>
      </c>
      <c r="C828" s="13">
        <v>780</v>
      </c>
      <c r="D828" s="8" t="s">
        <v>4585</v>
      </c>
      <c r="E828" s="8" t="s">
        <v>4586</v>
      </c>
      <c r="F828" s="8" t="s">
        <v>4587</v>
      </c>
      <c r="G828" s="6" t="s">
        <v>51</v>
      </c>
      <c r="H828" s="6" t="s">
        <v>38</v>
      </c>
      <c r="I828" s="8"/>
      <c r="J828" s="9">
        <v>1</v>
      </c>
      <c r="K828" s="9">
        <v>144</v>
      </c>
      <c r="L828" s="9">
        <v>2023</v>
      </c>
      <c r="M828" s="8" t="s">
        <v>4588</v>
      </c>
      <c r="N828" s="8" t="s">
        <v>40</v>
      </c>
      <c r="O828" s="8" t="s">
        <v>41</v>
      </c>
      <c r="P828" s="6" t="s">
        <v>42</v>
      </c>
      <c r="Q828" s="8" t="s">
        <v>43</v>
      </c>
      <c r="R828" s="10" t="s">
        <v>4589</v>
      </c>
      <c r="S828" s="11"/>
      <c r="T828" s="6"/>
      <c r="U828" s="28" t="str">
        <f>HYPERLINK("https://media.infra-m.ru/2018/2018246/cover/2018246.jpg", "Обложка")</f>
        <v>Обложка</v>
      </c>
      <c r="V828" s="28" t="str">
        <f>HYPERLINK("https://znanium.ru/catalog/product/2018246", "Ознакомиться")</f>
        <v>Ознакомиться</v>
      </c>
      <c r="W828" s="8" t="s">
        <v>114</v>
      </c>
      <c r="X828" s="6"/>
      <c r="Y828" s="6"/>
      <c r="Z828" s="6"/>
      <c r="AA828" s="6" t="s">
        <v>88</v>
      </c>
    </row>
    <row r="829" spans="1:27" s="4" customFormat="1" ht="51.95" customHeight="1">
      <c r="A829" s="5">
        <v>0</v>
      </c>
      <c r="B829" s="6" t="s">
        <v>4590</v>
      </c>
      <c r="C829" s="7">
        <v>1188</v>
      </c>
      <c r="D829" s="8" t="s">
        <v>4591</v>
      </c>
      <c r="E829" s="8" t="s">
        <v>4592</v>
      </c>
      <c r="F829" s="8" t="s">
        <v>4075</v>
      </c>
      <c r="G829" s="6" t="s">
        <v>58</v>
      </c>
      <c r="H829" s="6" t="s">
        <v>38</v>
      </c>
      <c r="I829" s="8"/>
      <c r="J829" s="9">
        <v>1</v>
      </c>
      <c r="K829" s="9">
        <v>176</v>
      </c>
      <c r="L829" s="9">
        <v>2024</v>
      </c>
      <c r="M829" s="8" t="s">
        <v>4593</v>
      </c>
      <c r="N829" s="8" t="s">
        <v>40</v>
      </c>
      <c r="O829" s="8" t="s">
        <v>41</v>
      </c>
      <c r="P829" s="6" t="s">
        <v>299</v>
      </c>
      <c r="Q829" s="8" t="s">
        <v>43</v>
      </c>
      <c r="R829" s="10" t="s">
        <v>4594</v>
      </c>
      <c r="S829" s="11"/>
      <c r="T829" s="6"/>
      <c r="U829" s="28" t="str">
        <f>HYPERLINK("https://media.infra-m.ru/2137/2137747/cover/2137747.jpg", "Обложка")</f>
        <v>Обложка</v>
      </c>
      <c r="V829" s="28" t="str">
        <f>HYPERLINK("https://znanium.ru/catalog/product/2130217", "Ознакомиться")</f>
        <v>Ознакомиться</v>
      </c>
      <c r="W829" s="8" t="s">
        <v>78</v>
      </c>
      <c r="X829" s="6"/>
      <c r="Y829" s="6"/>
      <c r="Z829" s="6"/>
      <c r="AA829" s="6" t="s">
        <v>100</v>
      </c>
    </row>
    <row r="830" spans="1:27" s="4" customFormat="1" ht="44.1" customHeight="1">
      <c r="A830" s="5">
        <v>0</v>
      </c>
      <c r="B830" s="6" t="s">
        <v>4595</v>
      </c>
      <c r="C830" s="7">
        <v>1108.8</v>
      </c>
      <c r="D830" s="8" t="s">
        <v>4596</v>
      </c>
      <c r="E830" s="8" t="s">
        <v>4597</v>
      </c>
      <c r="F830" s="8" t="s">
        <v>4598</v>
      </c>
      <c r="G830" s="6" t="s">
        <v>51</v>
      </c>
      <c r="H830" s="6" t="s">
        <v>38</v>
      </c>
      <c r="I830" s="8"/>
      <c r="J830" s="9">
        <v>1</v>
      </c>
      <c r="K830" s="9">
        <v>240</v>
      </c>
      <c r="L830" s="9">
        <v>2024</v>
      </c>
      <c r="M830" s="8" t="s">
        <v>4599</v>
      </c>
      <c r="N830" s="8" t="s">
        <v>40</v>
      </c>
      <c r="O830" s="8" t="s">
        <v>41</v>
      </c>
      <c r="P830" s="6" t="s">
        <v>42</v>
      </c>
      <c r="Q830" s="8" t="s">
        <v>43</v>
      </c>
      <c r="R830" s="10" t="s">
        <v>749</v>
      </c>
      <c r="S830" s="11"/>
      <c r="T830" s="6"/>
      <c r="U830" s="28" t="str">
        <f>HYPERLINK("https://media.infra-m.ru/2045/2045896/cover/2045896.jpg", "Обложка")</f>
        <v>Обложка</v>
      </c>
      <c r="V830" s="12"/>
      <c r="W830" s="8" t="s">
        <v>78</v>
      </c>
      <c r="X830" s="6"/>
      <c r="Y830" s="6"/>
      <c r="Z830" s="6"/>
      <c r="AA830" s="6" t="s">
        <v>750</v>
      </c>
    </row>
    <row r="831" spans="1:27" s="4" customFormat="1" ht="44.1" customHeight="1">
      <c r="A831" s="5">
        <v>0</v>
      </c>
      <c r="B831" s="6" t="s">
        <v>4600</v>
      </c>
      <c r="C831" s="13">
        <v>792</v>
      </c>
      <c r="D831" s="8" t="s">
        <v>4601</v>
      </c>
      <c r="E831" s="8" t="s">
        <v>4602</v>
      </c>
      <c r="F831" s="8" t="s">
        <v>4075</v>
      </c>
      <c r="G831" s="6" t="s">
        <v>37</v>
      </c>
      <c r="H831" s="6" t="s">
        <v>38</v>
      </c>
      <c r="I831" s="8"/>
      <c r="J831" s="9">
        <v>1</v>
      </c>
      <c r="K831" s="9">
        <v>148</v>
      </c>
      <c r="L831" s="9">
        <v>2023</v>
      </c>
      <c r="M831" s="8" t="s">
        <v>4603</v>
      </c>
      <c r="N831" s="8" t="s">
        <v>40</v>
      </c>
      <c r="O831" s="8" t="s">
        <v>41</v>
      </c>
      <c r="P831" s="6" t="s">
        <v>42</v>
      </c>
      <c r="Q831" s="8" t="s">
        <v>43</v>
      </c>
      <c r="R831" s="10" t="s">
        <v>4604</v>
      </c>
      <c r="S831" s="11"/>
      <c r="T831" s="6"/>
      <c r="U831" s="28" t="str">
        <f>HYPERLINK("https://media.infra-m.ru/1979/1979150/cover/1979150.jpg", "Обложка")</f>
        <v>Обложка</v>
      </c>
      <c r="V831" s="28" t="str">
        <f>HYPERLINK("https://znanium.ru/catalog/product/1979150", "Ознакомиться")</f>
        <v>Ознакомиться</v>
      </c>
      <c r="W831" s="8" t="s">
        <v>78</v>
      </c>
      <c r="X831" s="6"/>
      <c r="Y831" s="6"/>
      <c r="Z831" s="6"/>
      <c r="AA831" s="6" t="s">
        <v>46</v>
      </c>
    </row>
    <row r="832" spans="1:27" s="4" customFormat="1" ht="44.1" customHeight="1">
      <c r="A832" s="5">
        <v>0</v>
      </c>
      <c r="B832" s="6" t="s">
        <v>4605</v>
      </c>
      <c r="C832" s="7">
        <v>2100</v>
      </c>
      <c r="D832" s="8" t="s">
        <v>4606</v>
      </c>
      <c r="E832" s="8" t="s">
        <v>4607</v>
      </c>
      <c r="F832" s="8" t="s">
        <v>4608</v>
      </c>
      <c r="G832" s="6" t="s">
        <v>37</v>
      </c>
      <c r="H832" s="6" t="s">
        <v>38</v>
      </c>
      <c r="I832" s="8"/>
      <c r="J832" s="9">
        <v>1</v>
      </c>
      <c r="K832" s="9">
        <v>448</v>
      </c>
      <c r="L832" s="9">
        <v>2022</v>
      </c>
      <c r="M832" s="8" t="s">
        <v>4609</v>
      </c>
      <c r="N832" s="8" t="s">
        <v>40</v>
      </c>
      <c r="O832" s="8" t="s">
        <v>41</v>
      </c>
      <c r="P832" s="6" t="s">
        <v>42</v>
      </c>
      <c r="Q832" s="8" t="s">
        <v>43</v>
      </c>
      <c r="R832" s="10" t="s">
        <v>481</v>
      </c>
      <c r="S832" s="11"/>
      <c r="T832" s="6"/>
      <c r="U832" s="28" t="str">
        <f>HYPERLINK("https://media.infra-m.ru/1864/1864968/cover/1864968.jpg", "Обложка")</f>
        <v>Обложка</v>
      </c>
      <c r="V832" s="28" t="str">
        <f>HYPERLINK("https://znanium.ru/catalog/product/1864968", "Ознакомиться")</f>
        <v>Ознакомиться</v>
      </c>
      <c r="W832" s="8" t="s">
        <v>78</v>
      </c>
      <c r="X832" s="6"/>
      <c r="Y832" s="6"/>
      <c r="Z832" s="6"/>
      <c r="AA832" s="6" t="s">
        <v>62</v>
      </c>
    </row>
    <row r="833" spans="1:27" s="4" customFormat="1" ht="42" customHeight="1">
      <c r="A833" s="5">
        <v>0</v>
      </c>
      <c r="B833" s="6" t="s">
        <v>4610</v>
      </c>
      <c r="C833" s="7">
        <v>1212</v>
      </c>
      <c r="D833" s="8" t="s">
        <v>4611</v>
      </c>
      <c r="E833" s="8" t="s">
        <v>4612</v>
      </c>
      <c r="F833" s="8" t="s">
        <v>4075</v>
      </c>
      <c r="G833" s="6" t="s">
        <v>58</v>
      </c>
      <c r="H833" s="6" t="s">
        <v>38</v>
      </c>
      <c r="I833" s="8"/>
      <c r="J833" s="9">
        <v>1</v>
      </c>
      <c r="K833" s="9">
        <v>288</v>
      </c>
      <c r="L833" s="9">
        <v>2020</v>
      </c>
      <c r="M833" s="8" t="s">
        <v>4613</v>
      </c>
      <c r="N833" s="8" t="s">
        <v>40</v>
      </c>
      <c r="O833" s="8" t="s">
        <v>41</v>
      </c>
      <c r="P833" s="6" t="s">
        <v>42</v>
      </c>
      <c r="Q833" s="8" t="s">
        <v>43</v>
      </c>
      <c r="R833" s="10" t="s">
        <v>314</v>
      </c>
      <c r="S833" s="11"/>
      <c r="T833" s="6"/>
      <c r="U833" s="28" t="str">
        <f>HYPERLINK("https://media.infra-m.ru/1064/1064117/cover/1064117.jpg", "Обложка")</f>
        <v>Обложка</v>
      </c>
      <c r="V833" s="28" t="str">
        <f>HYPERLINK("https://znanium.ru/catalog/product/1064117", "Ознакомиться")</f>
        <v>Ознакомиться</v>
      </c>
      <c r="W833" s="8" t="s">
        <v>78</v>
      </c>
      <c r="X833" s="6"/>
      <c r="Y833" s="6"/>
      <c r="Z833" s="6"/>
      <c r="AA833" s="6" t="s">
        <v>750</v>
      </c>
    </row>
    <row r="834" spans="1:27" s="4" customFormat="1" ht="51.95" customHeight="1">
      <c r="A834" s="5">
        <v>0</v>
      </c>
      <c r="B834" s="6" t="s">
        <v>4614</v>
      </c>
      <c r="C834" s="7">
        <v>2340</v>
      </c>
      <c r="D834" s="8" t="s">
        <v>4615</v>
      </c>
      <c r="E834" s="8" t="s">
        <v>4616</v>
      </c>
      <c r="F834" s="8" t="s">
        <v>4617</v>
      </c>
      <c r="G834" s="6" t="s">
        <v>37</v>
      </c>
      <c r="H834" s="6" t="s">
        <v>38</v>
      </c>
      <c r="I834" s="8"/>
      <c r="J834" s="9">
        <v>1</v>
      </c>
      <c r="K834" s="9">
        <v>512</v>
      </c>
      <c r="L834" s="9">
        <v>2022</v>
      </c>
      <c r="M834" s="8" t="s">
        <v>4618</v>
      </c>
      <c r="N834" s="8" t="s">
        <v>40</v>
      </c>
      <c r="O834" s="8" t="s">
        <v>41</v>
      </c>
      <c r="P834" s="6" t="s">
        <v>95</v>
      </c>
      <c r="Q834" s="8" t="s">
        <v>76</v>
      </c>
      <c r="R834" s="10" t="s">
        <v>4619</v>
      </c>
      <c r="S834" s="11"/>
      <c r="T834" s="6"/>
      <c r="U834" s="28" t="str">
        <f>HYPERLINK("https://media.infra-m.ru/1818/1818483/cover/1818483.jpg", "Обложка")</f>
        <v>Обложка</v>
      </c>
      <c r="V834" s="28" t="str">
        <f>HYPERLINK("https://znanium.ru/catalog/product/1818483", "Ознакомиться")</f>
        <v>Ознакомиться</v>
      </c>
      <c r="W834" s="8" t="s">
        <v>78</v>
      </c>
      <c r="X834" s="6"/>
      <c r="Y834" s="6"/>
      <c r="Z834" s="6"/>
      <c r="AA834" s="6" t="s">
        <v>849</v>
      </c>
    </row>
    <row r="835" spans="1:27" s="4" customFormat="1" ht="51.95" customHeight="1">
      <c r="A835" s="5">
        <v>0</v>
      </c>
      <c r="B835" s="6" t="s">
        <v>4620</v>
      </c>
      <c r="C835" s="13">
        <v>828</v>
      </c>
      <c r="D835" s="8" t="s">
        <v>4621</v>
      </c>
      <c r="E835" s="8" t="s">
        <v>4622</v>
      </c>
      <c r="F835" s="8" t="s">
        <v>3359</v>
      </c>
      <c r="G835" s="6" t="s">
        <v>37</v>
      </c>
      <c r="H835" s="6" t="s">
        <v>52</v>
      </c>
      <c r="I835" s="8" t="s">
        <v>184</v>
      </c>
      <c r="J835" s="9">
        <v>1</v>
      </c>
      <c r="K835" s="9">
        <v>175</v>
      </c>
      <c r="L835" s="9">
        <v>2021</v>
      </c>
      <c r="M835" s="8" t="s">
        <v>4623</v>
      </c>
      <c r="N835" s="8" t="s">
        <v>40</v>
      </c>
      <c r="O835" s="8" t="s">
        <v>41</v>
      </c>
      <c r="P835" s="6" t="s">
        <v>75</v>
      </c>
      <c r="Q835" s="8" t="s">
        <v>76</v>
      </c>
      <c r="R835" s="10" t="s">
        <v>1800</v>
      </c>
      <c r="S835" s="11" t="s">
        <v>3366</v>
      </c>
      <c r="T835" s="6"/>
      <c r="U835" s="28" t="str">
        <f>HYPERLINK("https://media.infra-m.ru/1639/1639816/cover/1639816.jpg", "Обложка")</f>
        <v>Обложка</v>
      </c>
      <c r="V835" s="28" t="str">
        <f>HYPERLINK("https://znanium.ru/catalog/product/1993590", "Ознакомиться")</f>
        <v>Ознакомиться</v>
      </c>
      <c r="W835" s="8" t="s">
        <v>3361</v>
      </c>
      <c r="X835" s="6"/>
      <c r="Y835" s="6"/>
      <c r="Z835" s="6"/>
      <c r="AA835" s="6" t="s">
        <v>214</v>
      </c>
    </row>
    <row r="836" spans="1:27" s="4" customFormat="1" ht="51.95" customHeight="1">
      <c r="A836" s="5">
        <v>0</v>
      </c>
      <c r="B836" s="6" t="s">
        <v>4624</v>
      </c>
      <c r="C836" s="13">
        <v>976.8</v>
      </c>
      <c r="D836" s="8" t="s">
        <v>4625</v>
      </c>
      <c r="E836" s="8" t="s">
        <v>4616</v>
      </c>
      <c r="F836" s="8" t="s">
        <v>3359</v>
      </c>
      <c r="G836" s="6" t="s">
        <v>37</v>
      </c>
      <c r="H836" s="6" t="s">
        <v>52</v>
      </c>
      <c r="I836" s="8" t="s">
        <v>120</v>
      </c>
      <c r="J836" s="9">
        <v>1</v>
      </c>
      <c r="K836" s="9">
        <v>176</v>
      </c>
      <c r="L836" s="9">
        <v>2024</v>
      </c>
      <c r="M836" s="8" t="s">
        <v>4626</v>
      </c>
      <c r="N836" s="8" t="s">
        <v>40</v>
      </c>
      <c r="O836" s="8" t="s">
        <v>41</v>
      </c>
      <c r="P836" s="6" t="s">
        <v>75</v>
      </c>
      <c r="Q836" s="8" t="s">
        <v>76</v>
      </c>
      <c r="R836" s="10" t="s">
        <v>1800</v>
      </c>
      <c r="S836" s="11"/>
      <c r="T836" s="6"/>
      <c r="U836" s="28" t="str">
        <f>HYPERLINK("https://media.infra-m.ru/2079/2079333/cover/2079333.jpg", "Обложка")</f>
        <v>Обложка</v>
      </c>
      <c r="V836" s="28" t="str">
        <f>HYPERLINK("https://znanium.ru/catalog/product/1993590", "Ознакомиться")</f>
        <v>Ознакомиться</v>
      </c>
      <c r="W836" s="8" t="s">
        <v>3361</v>
      </c>
      <c r="X836" s="6"/>
      <c r="Y836" s="6"/>
      <c r="Z836" s="6"/>
      <c r="AA836" s="6" t="s">
        <v>2479</v>
      </c>
    </row>
    <row r="837" spans="1:27" s="4" customFormat="1" ht="51.95" customHeight="1">
      <c r="A837" s="5">
        <v>0</v>
      </c>
      <c r="B837" s="6" t="s">
        <v>4627</v>
      </c>
      <c r="C837" s="7">
        <v>1560</v>
      </c>
      <c r="D837" s="8" t="s">
        <v>4628</v>
      </c>
      <c r="E837" s="8" t="s">
        <v>4629</v>
      </c>
      <c r="F837" s="8" t="s">
        <v>829</v>
      </c>
      <c r="G837" s="6" t="s">
        <v>37</v>
      </c>
      <c r="H837" s="6" t="s">
        <v>84</v>
      </c>
      <c r="I837" s="8" t="s">
        <v>831</v>
      </c>
      <c r="J837" s="9">
        <v>1</v>
      </c>
      <c r="K837" s="9">
        <v>289</v>
      </c>
      <c r="L837" s="9">
        <v>2023</v>
      </c>
      <c r="M837" s="8" t="s">
        <v>4630</v>
      </c>
      <c r="N837" s="8" t="s">
        <v>40</v>
      </c>
      <c r="O837" s="8" t="s">
        <v>41</v>
      </c>
      <c r="P837" s="6" t="s">
        <v>4631</v>
      </c>
      <c r="Q837" s="8" t="s">
        <v>43</v>
      </c>
      <c r="R837" s="10" t="s">
        <v>4632</v>
      </c>
      <c r="S837" s="11"/>
      <c r="T837" s="6"/>
      <c r="U837" s="28" t="str">
        <f>HYPERLINK("https://media.infra-m.ru/2050/2050500/cover/2050500.jpg", "Обложка")</f>
        <v>Обложка</v>
      </c>
      <c r="V837" s="28" t="str">
        <f>HYPERLINK("https://znanium.ru/catalog/product/2050500", "Ознакомиться")</f>
        <v>Ознакомиться</v>
      </c>
      <c r="W837" s="8"/>
      <c r="X837" s="6"/>
      <c r="Y837" s="6"/>
      <c r="Z837" s="6"/>
      <c r="AA837" s="6" t="s">
        <v>417</v>
      </c>
    </row>
    <row r="838" spans="1:27" s="4" customFormat="1" ht="51.95" customHeight="1">
      <c r="A838" s="5">
        <v>0</v>
      </c>
      <c r="B838" s="6" t="s">
        <v>4633</v>
      </c>
      <c r="C838" s="7">
        <v>1169.9000000000001</v>
      </c>
      <c r="D838" s="8" t="s">
        <v>4634</v>
      </c>
      <c r="E838" s="8" t="s">
        <v>4635</v>
      </c>
      <c r="F838" s="8" t="s">
        <v>4636</v>
      </c>
      <c r="G838" s="6" t="s">
        <v>58</v>
      </c>
      <c r="H838" s="6" t="s">
        <v>1952</v>
      </c>
      <c r="I838" s="8"/>
      <c r="J838" s="9">
        <v>1</v>
      </c>
      <c r="K838" s="9">
        <v>256</v>
      </c>
      <c r="L838" s="9">
        <v>2022</v>
      </c>
      <c r="M838" s="8" t="s">
        <v>4637</v>
      </c>
      <c r="N838" s="8" t="s">
        <v>40</v>
      </c>
      <c r="O838" s="8" t="s">
        <v>41</v>
      </c>
      <c r="P838" s="6" t="s">
        <v>75</v>
      </c>
      <c r="Q838" s="8" t="s">
        <v>76</v>
      </c>
      <c r="R838" s="10" t="s">
        <v>4638</v>
      </c>
      <c r="S838" s="11"/>
      <c r="T838" s="6"/>
      <c r="U838" s="28" t="str">
        <f>HYPERLINK("https://media.infra-m.ru/1844/1844312/cover/1844312.jpg", "Обложка")</f>
        <v>Обложка</v>
      </c>
      <c r="V838" s="28" t="str">
        <f>HYPERLINK("https://znanium.ru/catalog/product/1844312", "Ознакомиться")</f>
        <v>Ознакомиться</v>
      </c>
      <c r="W838" s="8" t="s">
        <v>45</v>
      </c>
      <c r="X838" s="6"/>
      <c r="Y838" s="6"/>
      <c r="Z838" s="6"/>
      <c r="AA838" s="6" t="s">
        <v>293</v>
      </c>
    </row>
    <row r="839" spans="1:27" s="4" customFormat="1" ht="42" customHeight="1">
      <c r="A839" s="5">
        <v>0</v>
      </c>
      <c r="B839" s="6" t="s">
        <v>4639</v>
      </c>
      <c r="C839" s="13">
        <v>760.8</v>
      </c>
      <c r="D839" s="8" t="s">
        <v>4640</v>
      </c>
      <c r="E839" s="8" t="s">
        <v>4641</v>
      </c>
      <c r="F839" s="8" t="s">
        <v>4642</v>
      </c>
      <c r="G839" s="6" t="s">
        <v>58</v>
      </c>
      <c r="H839" s="6" t="s">
        <v>38</v>
      </c>
      <c r="I839" s="8"/>
      <c r="J839" s="9">
        <v>1</v>
      </c>
      <c r="K839" s="9">
        <v>136</v>
      </c>
      <c r="L839" s="9">
        <v>2023</v>
      </c>
      <c r="M839" s="8" t="s">
        <v>4643</v>
      </c>
      <c r="N839" s="8" t="s">
        <v>40</v>
      </c>
      <c r="O839" s="8" t="s">
        <v>41</v>
      </c>
      <c r="P839" s="6" t="s">
        <v>42</v>
      </c>
      <c r="Q839" s="8" t="s">
        <v>43</v>
      </c>
      <c r="R839" s="10" t="s">
        <v>4644</v>
      </c>
      <c r="S839" s="11"/>
      <c r="T839" s="6"/>
      <c r="U839" s="28" t="str">
        <f>HYPERLINK("https://media.infra-m.ru/2045/2045921/cover/2045921.jpg", "Обложка")</f>
        <v>Обложка</v>
      </c>
      <c r="V839" s="28" t="str">
        <f>HYPERLINK("https://znanium.ru/catalog/product/1875259", "Ознакомиться")</f>
        <v>Ознакомиться</v>
      </c>
      <c r="W839" s="8" t="s">
        <v>45</v>
      </c>
      <c r="X839" s="6"/>
      <c r="Y839" s="6"/>
      <c r="Z839" s="6"/>
      <c r="AA839" s="6" t="s">
        <v>62</v>
      </c>
    </row>
    <row r="840" spans="1:27" s="4" customFormat="1" ht="42" customHeight="1">
      <c r="A840" s="5">
        <v>0</v>
      </c>
      <c r="B840" s="6" t="s">
        <v>4645</v>
      </c>
      <c r="C840" s="13">
        <v>804</v>
      </c>
      <c r="D840" s="8" t="s">
        <v>4646</v>
      </c>
      <c r="E840" s="8" t="s">
        <v>4647</v>
      </c>
      <c r="F840" s="8" t="s">
        <v>4648</v>
      </c>
      <c r="G840" s="6" t="s">
        <v>51</v>
      </c>
      <c r="H840" s="6" t="s">
        <v>84</v>
      </c>
      <c r="I840" s="8" t="s">
        <v>250</v>
      </c>
      <c r="J840" s="9">
        <v>1</v>
      </c>
      <c r="K840" s="9">
        <v>158</v>
      </c>
      <c r="L840" s="9">
        <v>2022</v>
      </c>
      <c r="M840" s="8" t="s">
        <v>4649</v>
      </c>
      <c r="N840" s="8" t="s">
        <v>40</v>
      </c>
      <c r="O840" s="8" t="s">
        <v>41</v>
      </c>
      <c r="P840" s="6" t="s">
        <v>42</v>
      </c>
      <c r="Q840" s="8" t="s">
        <v>43</v>
      </c>
      <c r="R840" s="10" t="s">
        <v>113</v>
      </c>
      <c r="S840" s="11"/>
      <c r="T840" s="6"/>
      <c r="U840" s="28" t="str">
        <f>HYPERLINK("https://media.infra-m.ru/1869/1869671/cover/1869671.jpg", "Обложка")</f>
        <v>Обложка</v>
      </c>
      <c r="V840" s="28" t="str">
        <f>HYPERLINK("https://znanium.ru/catalog/product/1869671", "Ознакомиться")</f>
        <v>Ознакомиться</v>
      </c>
      <c r="W840" s="8" t="s">
        <v>4650</v>
      </c>
      <c r="X840" s="6"/>
      <c r="Y840" s="6"/>
      <c r="Z840" s="6"/>
      <c r="AA840" s="6" t="s">
        <v>148</v>
      </c>
    </row>
    <row r="841" spans="1:27" s="4" customFormat="1" ht="42" customHeight="1">
      <c r="A841" s="5">
        <v>0</v>
      </c>
      <c r="B841" s="6" t="s">
        <v>4651</v>
      </c>
      <c r="C841" s="7">
        <v>1992</v>
      </c>
      <c r="D841" s="8" t="s">
        <v>4652</v>
      </c>
      <c r="E841" s="8" t="s">
        <v>4653</v>
      </c>
      <c r="F841" s="8" t="s">
        <v>4654</v>
      </c>
      <c r="G841" s="6" t="s">
        <v>37</v>
      </c>
      <c r="H841" s="6" t="s">
        <v>38</v>
      </c>
      <c r="I841" s="8"/>
      <c r="J841" s="9">
        <v>1</v>
      </c>
      <c r="K841" s="9">
        <v>368</v>
      </c>
      <c r="L841" s="9">
        <v>2023</v>
      </c>
      <c r="M841" s="8" t="s">
        <v>4655</v>
      </c>
      <c r="N841" s="8" t="s">
        <v>40</v>
      </c>
      <c r="O841" s="8" t="s">
        <v>41</v>
      </c>
      <c r="P841" s="6" t="s">
        <v>42</v>
      </c>
      <c r="Q841" s="8" t="s">
        <v>43</v>
      </c>
      <c r="R841" s="10" t="s">
        <v>1376</v>
      </c>
      <c r="S841" s="11"/>
      <c r="T841" s="6"/>
      <c r="U841" s="28" t="str">
        <f>HYPERLINK("https://media.infra-m.ru/1912/1912889/cover/1912889.jpg", "Обложка")</f>
        <v>Обложка</v>
      </c>
      <c r="V841" s="28" t="str">
        <f>HYPERLINK("https://znanium.ru/catalog/product/1912889", "Ознакомиться")</f>
        <v>Ознакомиться</v>
      </c>
      <c r="W841" s="8" t="s">
        <v>78</v>
      </c>
      <c r="X841" s="6"/>
      <c r="Y841" s="6"/>
      <c r="Z841" s="6"/>
      <c r="AA841" s="6" t="s">
        <v>62</v>
      </c>
    </row>
    <row r="842" spans="1:27" s="4" customFormat="1" ht="51.95" customHeight="1">
      <c r="A842" s="5">
        <v>0</v>
      </c>
      <c r="B842" s="6" t="s">
        <v>4656</v>
      </c>
      <c r="C842" s="7">
        <v>1308</v>
      </c>
      <c r="D842" s="8" t="s">
        <v>4657</v>
      </c>
      <c r="E842" s="8" t="s">
        <v>4658</v>
      </c>
      <c r="F842" s="8" t="s">
        <v>4659</v>
      </c>
      <c r="G842" s="6" t="s">
        <v>37</v>
      </c>
      <c r="H842" s="6" t="s">
        <v>38</v>
      </c>
      <c r="I842" s="8"/>
      <c r="J842" s="9">
        <v>1</v>
      </c>
      <c r="K842" s="9">
        <v>288</v>
      </c>
      <c r="L842" s="9">
        <v>2022</v>
      </c>
      <c r="M842" s="8" t="s">
        <v>4660</v>
      </c>
      <c r="N842" s="8" t="s">
        <v>40</v>
      </c>
      <c r="O842" s="8" t="s">
        <v>41</v>
      </c>
      <c r="P842" s="6" t="s">
        <v>75</v>
      </c>
      <c r="Q842" s="8" t="s">
        <v>76</v>
      </c>
      <c r="R842" s="10" t="s">
        <v>1936</v>
      </c>
      <c r="S842" s="11"/>
      <c r="T842" s="6"/>
      <c r="U842" s="28" t="str">
        <f>HYPERLINK("https://media.infra-m.ru/1862/1862643/cover/1862643.jpg", "Обложка")</f>
        <v>Обложка</v>
      </c>
      <c r="V842" s="28" t="str">
        <f>HYPERLINK("https://znanium.ru/catalog/product/1862643", "Ознакомиться")</f>
        <v>Ознакомиться</v>
      </c>
      <c r="W842" s="8" t="s">
        <v>1524</v>
      </c>
      <c r="X842" s="6"/>
      <c r="Y842" s="6"/>
      <c r="Z842" s="6"/>
      <c r="AA842" s="6" t="s">
        <v>214</v>
      </c>
    </row>
    <row r="843" spans="1:27" s="4" customFormat="1" ht="51.95" customHeight="1">
      <c r="A843" s="5">
        <v>0</v>
      </c>
      <c r="B843" s="6" t="s">
        <v>4661</v>
      </c>
      <c r="C843" s="7">
        <v>1428</v>
      </c>
      <c r="D843" s="8" t="s">
        <v>4662</v>
      </c>
      <c r="E843" s="8" t="s">
        <v>4663</v>
      </c>
      <c r="F843" s="8" t="s">
        <v>4664</v>
      </c>
      <c r="G843" s="6" t="s">
        <v>37</v>
      </c>
      <c r="H843" s="6" t="s">
        <v>38</v>
      </c>
      <c r="I843" s="8"/>
      <c r="J843" s="9">
        <v>1</v>
      </c>
      <c r="K843" s="9">
        <v>304</v>
      </c>
      <c r="L843" s="9">
        <v>2022</v>
      </c>
      <c r="M843" s="8" t="s">
        <v>4665</v>
      </c>
      <c r="N843" s="8" t="s">
        <v>40</v>
      </c>
      <c r="O843" s="8" t="s">
        <v>41</v>
      </c>
      <c r="P843" s="6" t="s">
        <v>42</v>
      </c>
      <c r="Q843" s="8" t="s">
        <v>43</v>
      </c>
      <c r="R843" s="10" t="s">
        <v>4666</v>
      </c>
      <c r="S843" s="11"/>
      <c r="T843" s="6"/>
      <c r="U843" s="28" t="str">
        <f>HYPERLINK("https://media.infra-m.ru/1852/1852692/cover/1852692.jpg", "Обложка")</f>
        <v>Обложка</v>
      </c>
      <c r="V843" s="28" t="str">
        <f>HYPERLINK("https://znanium.ru/catalog/product/1852692", "Ознакомиться")</f>
        <v>Ознакомиться</v>
      </c>
      <c r="W843" s="8" t="s">
        <v>114</v>
      </c>
      <c r="X843" s="6"/>
      <c r="Y843" s="6"/>
      <c r="Z843" s="6"/>
      <c r="AA843" s="6" t="s">
        <v>2485</v>
      </c>
    </row>
    <row r="844" spans="1:27" s="4" customFormat="1" ht="42" customHeight="1">
      <c r="A844" s="5">
        <v>0</v>
      </c>
      <c r="B844" s="6" t="s">
        <v>4667</v>
      </c>
      <c r="C844" s="7">
        <v>1908</v>
      </c>
      <c r="D844" s="8" t="s">
        <v>4668</v>
      </c>
      <c r="E844" s="8" t="s">
        <v>4669</v>
      </c>
      <c r="F844" s="8" t="s">
        <v>4670</v>
      </c>
      <c r="G844" s="6" t="s">
        <v>58</v>
      </c>
      <c r="H844" s="6" t="s">
        <v>84</v>
      </c>
      <c r="I844" s="8" t="s">
        <v>120</v>
      </c>
      <c r="J844" s="9">
        <v>1</v>
      </c>
      <c r="K844" s="9">
        <v>340</v>
      </c>
      <c r="L844" s="9">
        <v>2023</v>
      </c>
      <c r="M844" s="8" t="s">
        <v>4671</v>
      </c>
      <c r="N844" s="8" t="s">
        <v>40</v>
      </c>
      <c r="O844" s="8" t="s">
        <v>41</v>
      </c>
      <c r="P844" s="6" t="s">
        <v>75</v>
      </c>
      <c r="Q844" s="8" t="s">
        <v>76</v>
      </c>
      <c r="R844" s="10" t="s">
        <v>69</v>
      </c>
      <c r="S844" s="11"/>
      <c r="T844" s="6"/>
      <c r="U844" s="28" t="str">
        <f>HYPERLINK("https://media.infra-m.ru/1819/1819049/cover/1819049.jpg", "Обложка")</f>
        <v>Обложка</v>
      </c>
      <c r="V844" s="28" t="str">
        <f>HYPERLINK("https://znanium.ru/catalog/product/1819049", "Ознакомиться")</f>
        <v>Ознакомиться</v>
      </c>
      <c r="W844" s="8" t="s">
        <v>194</v>
      </c>
      <c r="X844" s="6" t="s">
        <v>498</v>
      </c>
      <c r="Y844" s="6"/>
      <c r="Z844" s="6"/>
      <c r="AA844" s="6" t="s">
        <v>137</v>
      </c>
    </row>
    <row r="845" spans="1:27" s="4" customFormat="1" ht="42" customHeight="1">
      <c r="A845" s="5">
        <v>0</v>
      </c>
      <c r="B845" s="6" t="s">
        <v>4672</v>
      </c>
      <c r="C845" s="7">
        <v>1469.9</v>
      </c>
      <c r="D845" s="8" t="s">
        <v>4673</v>
      </c>
      <c r="E845" s="8" t="s">
        <v>4674</v>
      </c>
      <c r="F845" s="8" t="s">
        <v>4675</v>
      </c>
      <c r="G845" s="6" t="s">
        <v>51</v>
      </c>
      <c r="H845" s="6" t="s">
        <v>84</v>
      </c>
      <c r="I845" s="8" t="s">
        <v>85</v>
      </c>
      <c r="J845" s="9">
        <v>1</v>
      </c>
      <c r="K845" s="9">
        <v>272</v>
      </c>
      <c r="L845" s="9">
        <v>2023</v>
      </c>
      <c r="M845" s="8" t="s">
        <v>4676</v>
      </c>
      <c r="N845" s="8" t="s">
        <v>40</v>
      </c>
      <c r="O845" s="8" t="s">
        <v>41</v>
      </c>
      <c r="P845" s="6" t="s">
        <v>42</v>
      </c>
      <c r="Q845" s="8" t="s">
        <v>43</v>
      </c>
      <c r="R845" s="10" t="s">
        <v>69</v>
      </c>
      <c r="S845" s="11"/>
      <c r="T845" s="6"/>
      <c r="U845" s="28" t="str">
        <f>HYPERLINK("https://media.infra-m.ru/1913/1913687/cover/1913687.jpg", "Обложка")</f>
        <v>Обложка</v>
      </c>
      <c r="V845" s="28" t="str">
        <f>HYPERLINK("https://znanium.ru/catalog/product/938041", "Ознакомиться")</f>
        <v>Ознакомиться</v>
      </c>
      <c r="W845" s="8" t="s">
        <v>45</v>
      </c>
      <c r="X845" s="6"/>
      <c r="Y845" s="6"/>
      <c r="Z845" s="6"/>
      <c r="AA845" s="6" t="s">
        <v>302</v>
      </c>
    </row>
    <row r="846" spans="1:27" s="4" customFormat="1" ht="42" customHeight="1">
      <c r="A846" s="5">
        <v>0</v>
      </c>
      <c r="B846" s="6" t="s">
        <v>4677</v>
      </c>
      <c r="C846" s="7">
        <v>1452</v>
      </c>
      <c r="D846" s="8" t="s">
        <v>4678</v>
      </c>
      <c r="E846" s="8" t="s">
        <v>4679</v>
      </c>
      <c r="F846" s="8" t="s">
        <v>4680</v>
      </c>
      <c r="G846" s="6" t="s">
        <v>37</v>
      </c>
      <c r="H846" s="6" t="s">
        <v>38</v>
      </c>
      <c r="I846" s="8"/>
      <c r="J846" s="9">
        <v>1</v>
      </c>
      <c r="K846" s="9">
        <v>256</v>
      </c>
      <c r="L846" s="9">
        <v>2024</v>
      </c>
      <c r="M846" s="8" t="s">
        <v>4681</v>
      </c>
      <c r="N846" s="8" t="s">
        <v>40</v>
      </c>
      <c r="O846" s="8" t="s">
        <v>41</v>
      </c>
      <c r="P846" s="6" t="s">
        <v>95</v>
      </c>
      <c r="Q846" s="8" t="s">
        <v>157</v>
      </c>
      <c r="R846" s="10" t="s">
        <v>4682</v>
      </c>
      <c r="S846" s="11"/>
      <c r="T846" s="6"/>
      <c r="U846" s="28" t="str">
        <f>HYPERLINK("https://media.infra-m.ru/2085/2085941/cover/2085941.jpg", "Обложка")</f>
        <v>Обложка</v>
      </c>
      <c r="V846" s="28" t="str">
        <f>HYPERLINK("https://znanium.ru/catalog/product/2085941", "Ознакомиться")</f>
        <v>Ознакомиться</v>
      </c>
      <c r="W846" s="8" t="s">
        <v>61</v>
      </c>
      <c r="X846" s="6"/>
      <c r="Y846" s="6"/>
      <c r="Z846" s="6"/>
      <c r="AA846" s="6" t="s">
        <v>88</v>
      </c>
    </row>
    <row r="847" spans="1:27" s="4" customFormat="1" ht="51.95" customHeight="1">
      <c r="A847" s="5">
        <v>0</v>
      </c>
      <c r="B847" s="6" t="s">
        <v>4683</v>
      </c>
      <c r="C847" s="7">
        <v>2956.8</v>
      </c>
      <c r="D847" s="8" t="s">
        <v>4684</v>
      </c>
      <c r="E847" s="8" t="s">
        <v>4685</v>
      </c>
      <c r="F847" s="8" t="s">
        <v>4686</v>
      </c>
      <c r="G847" s="6" t="s">
        <v>37</v>
      </c>
      <c r="H847" s="6" t="s">
        <v>84</v>
      </c>
      <c r="I847" s="8" t="s">
        <v>1533</v>
      </c>
      <c r="J847" s="9">
        <v>1</v>
      </c>
      <c r="K847" s="9">
        <v>548</v>
      </c>
      <c r="L847" s="9">
        <v>2023</v>
      </c>
      <c r="M847" s="8" t="s">
        <v>4687</v>
      </c>
      <c r="N847" s="8" t="s">
        <v>40</v>
      </c>
      <c r="O847" s="8" t="s">
        <v>41</v>
      </c>
      <c r="P847" s="6" t="s">
        <v>95</v>
      </c>
      <c r="Q847" s="8" t="s">
        <v>76</v>
      </c>
      <c r="R847" s="10" t="s">
        <v>77</v>
      </c>
      <c r="S847" s="11" t="s">
        <v>4688</v>
      </c>
      <c r="T847" s="6"/>
      <c r="U847" s="28" t="str">
        <f>HYPERLINK("https://media.infra-m.ru/1974/1974376/cover/1974376.jpg", "Обложка")</f>
        <v>Обложка</v>
      </c>
      <c r="V847" s="28" t="str">
        <f>HYPERLINK("https://znanium.ru/catalog/product/1974376", "Ознакомиться")</f>
        <v>Ознакомиться</v>
      </c>
      <c r="W847" s="8" t="s">
        <v>344</v>
      </c>
      <c r="X847" s="6"/>
      <c r="Y847" s="6"/>
      <c r="Z847" s="6"/>
      <c r="AA847" s="6" t="s">
        <v>79</v>
      </c>
    </row>
    <row r="848" spans="1:27" s="4" customFormat="1" ht="21.95" customHeight="1">
      <c r="A848" s="5">
        <v>0</v>
      </c>
      <c r="B848" s="6" t="s">
        <v>4689</v>
      </c>
      <c r="C848" s="13">
        <v>77.900000000000006</v>
      </c>
      <c r="D848" s="8" t="s">
        <v>4690</v>
      </c>
      <c r="E848" s="8" t="s">
        <v>4691</v>
      </c>
      <c r="F848" s="8"/>
      <c r="G848" s="6" t="s">
        <v>51</v>
      </c>
      <c r="H848" s="6" t="s">
        <v>52</v>
      </c>
      <c r="I848" s="8" t="s">
        <v>225</v>
      </c>
      <c r="J848" s="9">
        <v>560</v>
      </c>
      <c r="K848" s="9">
        <v>96</v>
      </c>
      <c r="L848" s="9">
        <v>2016</v>
      </c>
      <c r="M848" s="8" t="s">
        <v>4692</v>
      </c>
      <c r="N848" s="8" t="s">
        <v>40</v>
      </c>
      <c r="O848" s="8" t="s">
        <v>41</v>
      </c>
      <c r="P848" s="6" t="s">
        <v>227</v>
      </c>
      <c r="Q848" s="8" t="s">
        <v>76</v>
      </c>
      <c r="R848" s="10"/>
      <c r="S848" s="11"/>
      <c r="T848" s="6"/>
      <c r="U848" s="12"/>
      <c r="V848" s="12"/>
      <c r="W848" s="8"/>
      <c r="X848" s="6"/>
      <c r="Y848" s="6"/>
      <c r="Z848" s="6"/>
      <c r="AA848" s="6" t="s">
        <v>4693</v>
      </c>
    </row>
    <row r="849" spans="1:27" s="4" customFormat="1" ht="51.95" customHeight="1">
      <c r="A849" s="5">
        <v>0</v>
      </c>
      <c r="B849" s="6" t="s">
        <v>4694</v>
      </c>
      <c r="C849" s="13">
        <v>863.9</v>
      </c>
      <c r="D849" s="8" t="s">
        <v>4695</v>
      </c>
      <c r="E849" s="8" t="s">
        <v>4696</v>
      </c>
      <c r="F849" s="8" t="s">
        <v>4697</v>
      </c>
      <c r="G849" s="6" t="s">
        <v>58</v>
      </c>
      <c r="H849" s="6" t="s">
        <v>38</v>
      </c>
      <c r="I849" s="8"/>
      <c r="J849" s="9">
        <v>1</v>
      </c>
      <c r="K849" s="9">
        <v>152</v>
      </c>
      <c r="L849" s="9">
        <v>2023</v>
      </c>
      <c r="M849" s="8" t="s">
        <v>4698</v>
      </c>
      <c r="N849" s="8" t="s">
        <v>40</v>
      </c>
      <c r="O849" s="8" t="s">
        <v>41</v>
      </c>
      <c r="P849" s="6" t="s">
        <v>42</v>
      </c>
      <c r="Q849" s="8" t="s">
        <v>43</v>
      </c>
      <c r="R849" s="10" t="s">
        <v>4699</v>
      </c>
      <c r="S849" s="11"/>
      <c r="T849" s="6"/>
      <c r="U849" s="28" t="str">
        <f>HYPERLINK("https://media.infra-m.ru/1905/1905571/cover/1905571.jpg", "Обложка")</f>
        <v>Обложка</v>
      </c>
      <c r="V849" s="28" t="str">
        <f>HYPERLINK("https://znanium.ru/catalog/product/1905571", "Ознакомиться")</f>
        <v>Ознакомиться</v>
      </c>
      <c r="W849" s="8" t="s">
        <v>114</v>
      </c>
      <c r="X849" s="6"/>
      <c r="Y849" s="6"/>
      <c r="Z849" s="6"/>
      <c r="AA849" s="6" t="s">
        <v>417</v>
      </c>
    </row>
    <row r="850" spans="1:27" s="4" customFormat="1" ht="51.95" customHeight="1">
      <c r="A850" s="5">
        <v>0</v>
      </c>
      <c r="B850" s="6" t="s">
        <v>4700</v>
      </c>
      <c r="C850" s="7">
        <v>1284</v>
      </c>
      <c r="D850" s="8" t="s">
        <v>4701</v>
      </c>
      <c r="E850" s="8" t="s">
        <v>4702</v>
      </c>
      <c r="F850" s="8" t="s">
        <v>4703</v>
      </c>
      <c r="G850" s="6" t="s">
        <v>37</v>
      </c>
      <c r="H850" s="6" t="s">
        <v>84</v>
      </c>
      <c r="I850" s="8" t="s">
        <v>1246</v>
      </c>
      <c r="J850" s="9">
        <v>1</v>
      </c>
      <c r="K850" s="9">
        <v>232</v>
      </c>
      <c r="L850" s="9">
        <v>2023</v>
      </c>
      <c r="M850" s="8" t="s">
        <v>4704</v>
      </c>
      <c r="N850" s="8" t="s">
        <v>40</v>
      </c>
      <c r="O850" s="8" t="s">
        <v>41</v>
      </c>
      <c r="P850" s="6" t="s">
        <v>95</v>
      </c>
      <c r="Q850" s="8" t="s">
        <v>515</v>
      </c>
      <c r="R850" s="10" t="s">
        <v>122</v>
      </c>
      <c r="S850" s="11"/>
      <c r="T850" s="6"/>
      <c r="U850" s="28" t="str">
        <f>HYPERLINK("https://media.infra-m.ru/2020/2020590/cover/2020590.jpg", "Обложка")</f>
        <v>Обложка</v>
      </c>
      <c r="V850" s="28" t="str">
        <f>HYPERLINK("https://znanium.ru/catalog/product/2020590", "Ознакомиться")</f>
        <v>Ознакомиться</v>
      </c>
      <c r="W850" s="8" t="s">
        <v>344</v>
      </c>
      <c r="X850" s="6"/>
      <c r="Y850" s="6"/>
      <c r="Z850" s="6"/>
      <c r="AA850" s="6" t="s">
        <v>79</v>
      </c>
    </row>
    <row r="851" spans="1:27" s="4" customFormat="1" ht="42" customHeight="1">
      <c r="A851" s="5">
        <v>0</v>
      </c>
      <c r="B851" s="6" t="s">
        <v>4705</v>
      </c>
      <c r="C851" s="7">
        <v>1044</v>
      </c>
      <c r="D851" s="8" t="s">
        <v>4706</v>
      </c>
      <c r="E851" s="8" t="s">
        <v>4707</v>
      </c>
      <c r="F851" s="8" t="s">
        <v>4708</v>
      </c>
      <c r="G851" s="6" t="s">
        <v>37</v>
      </c>
      <c r="H851" s="6" t="s">
        <v>38</v>
      </c>
      <c r="I851" s="8"/>
      <c r="J851" s="9">
        <v>1</v>
      </c>
      <c r="K851" s="9">
        <v>160</v>
      </c>
      <c r="L851" s="9">
        <v>2023</v>
      </c>
      <c r="M851" s="8" t="s">
        <v>4709</v>
      </c>
      <c r="N851" s="8" t="s">
        <v>40</v>
      </c>
      <c r="O851" s="8" t="s">
        <v>41</v>
      </c>
      <c r="P851" s="6" t="s">
        <v>42</v>
      </c>
      <c r="Q851" s="8" t="s">
        <v>43</v>
      </c>
      <c r="R851" s="10" t="s">
        <v>69</v>
      </c>
      <c r="S851" s="11"/>
      <c r="T851" s="6"/>
      <c r="U851" s="28" t="str">
        <f>HYPERLINK("https://media.infra-m.ru/1861/1861900/cover/1861900.jpg", "Обложка")</f>
        <v>Обложка</v>
      </c>
      <c r="V851" s="28" t="str">
        <f>HYPERLINK("https://znanium.ru/catalog/product/1861900", "Ознакомиться")</f>
        <v>Ознакомиться</v>
      </c>
      <c r="W851" s="8" t="s">
        <v>568</v>
      </c>
      <c r="X851" s="6"/>
      <c r="Y851" s="6"/>
      <c r="Z851" s="6"/>
      <c r="AA851" s="6" t="s">
        <v>353</v>
      </c>
    </row>
    <row r="852" spans="1:27" s="4" customFormat="1" ht="42" customHeight="1">
      <c r="A852" s="5">
        <v>0</v>
      </c>
      <c r="B852" s="6" t="s">
        <v>4710</v>
      </c>
      <c r="C852" s="13">
        <v>984</v>
      </c>
      <c r="D852" s="8" t="s">
        <v>4711</v>
      </c>
      <c r="E852" s="8" t="s">
        <v>4712</v>
      </c>
      <c r="F852" s="8" t="s">
        <v>3384</v>
      </c>
      <c r="G852" s="6" t="s">
        <v>58</v>
      </c>
      <c r="H852" s="6" t="s">
        <v>38</v>
      </c>
      <c r="I852" s="8"/>
      <c r="J852" s="9">
        <v>1</v>
      </c>
      <c r="K852" s="9">
        <v>176</v>
      </c>
      <c r="L852" s="9">
        <v>2023</v>
      </c>
      <c r="M852" s="8" t="s">
        <v>4713</v>
      </c>
      <c r="N852" s="8" t="s">
        <v>40</v>
      </c>
      <c r="O852" s="8" t="s">
        <v>41</v>
      </c>
      <c r="P852" s="6" t="s">
        <v>42</v>
      </c>
      <c r="Q852" s="8" t="s">
        <v>43</v>
      </c>
      <c r="R852" s="10" t="s">
        <v>1376</v>
      </c>
      <c r="S852" s="11"/>
      <c r="T852" s="6"/>
      <c r="U852" s="28" t="str">
        <f>HYPERLINK("https://media.infra-m.ru/1958/1958346/cover/1958346.jpg", "Обложка")</f>
        <v>Обложка</v>
      </c>
      <c r="V852" s="28" t="str">
        <f>HYPERLINK("https://znanium.ru/catalog/product/1958346", "Ознакомиться")</f>
        <v>Ознакомиться</v>
      </c>
      <c r="W852" s="8" t="s">
        <v>1393</v>
      </c>
      <c r="X852" s="6"/>
      <c r="Y852" s="6"/>
      <c r="Z852" s="6"/>
      <c r="AA852" s="6" t="s">
        <v>137</v>
      </c>
    </row>
    <row r="853" spans="1:27" s="4" customFormat="1" ht="42" customHeight="1">
      <c r="A853" s="5">
        <v>0</v>
      </c>
      <c r="B853" s="6" t="s">
        <v>4714</v>
      </c>
      <c r="C853" s="13">
        <v>828</v>
      </c>
      <c r="D853" s="8" t="s">
        <v>4715</v>
      </c>
      <c r="E853" s="8" t="s">
        <v>4716</v>
      </c>
      <c r="F853" s="8" t="s">
        <v>3384</v>
      </c>
      <c r="G853" s="6" t="s">
        <v>37</v>
      </c>
      <c r="H853" s="6" t="s">
        <v>38</v>
      </c>
      <c r="I853" s="8"/>
      <c r="J853" s="9">
        <v>1</v>
      </c>
      <c r="K853" s="9">
        <v>144</v>
      </c>
      <c r="L853" s="9">
        <v>2023</v>
      </c>
      <c r="M853" s="8" t="s">
        <v>4717</v>
      </c>
      <c r="N853" s="8" t="s">
        <v>40</v>
      </c>
      <c r="O853" s="8" t="s">
        <v>41</v>
      </c>
      <c r="P853" s="6" t="s">
        <v>42</v>
      </c>
      <c r="Q853" s="8" t="s">
        <v>43</v>
      </c>
      <c r="R853" s="10" t="s">
        <v>1376</v>
      </c>
      <c r="S853" s="11"/>
      <c r="T853" s="6"/>
      <c r="U853" s="28" t="str">
        <f>HYPERLINK("https://media.infra-m.ru/1864/1864113/cover/1864113.jpg", "Обложка")</f>
        <v>Обложка</v>
      </c>
      <c r="V853" s="28" t="str">
        <f>HYPERLINK("https://znanium.ru/catalog/product/1958346", "Ознакомиться")</f>
        <v>Ознакомиться</v>
      </c>
      <c r="W853" s="8" t="s">
        <v>1393</v>
      </c>
      <c r="X853" s="6"/>
      <c r="Y853" s="6"/>
      <c r="Z853" s="6"/>
      <c r="AA853" s="6" t="s">
        <v>115</v>
      </c>
    </row>
    <row r="854" spans="1:27" s="4" customFormat="1" ht="51.95" customHeight="1">
      <c r="A854" s="5">
        <v>0</v>
      </c>
      <c r="B854" s="6" t="s">
        <v>4718</v>
      </c>
      <c r="C854" s="7">
        <v>1080</v>
      </c>
      <c r="D854" s="8" t="s">
        <v>4719</v>
      </c>
      <c r="E854" s="8" t="s">
        <v>4720</v>
      </c>
      <c r="F854" s="8" t="s">
        <v>4721</v>
      </c>
      <c r="G854" s="6" t="s">
        <v>37</v>
      </c>
      <c r="H854" s="6" t="s">
        <v>52</v>
      </c>
      <c r="I854" s="8" t="s">
        <v>3084</v>
      </c>
      <c r="J854" s="9">
        <v>1</v>
      </c>
      <c r="K854" s="9">
        <v>194</v>
      </c>
      <c r="L854" s="9">
        <v>2023</v>
      </c>
      <c r="M854" s="8" t="s">
        <v>4722</v>
      </c>
      <c r="N854" s="8" t="s">
        <v>40</v>
      </c>
      <c r="O854" s="8" t="s">
        <v>41</v>
      </c>
      <c r="P854" s="6" t="s">
        <v>75</v>
      </c>
      <c r="Q854" s="8" t="s">
        <v>76</v>
      </c>
      <c r="R854" s="10" t="s">
        <v>314</v>
      </c>
      <c r="S854" s="11" t="s">
        <v>4723</v>
      </c>
      <c r="T854" s="6"/>
      <c r="U854" s="28" t="str">
        <f>HYPERLINK("https://media.infra-m.ru/1974/1974375/cover/1974375.jpg", "Обложка")</f>
        <v>Обложка</v>
      </c>
      <c r="V854" s="28" t="str">
        <f>HYPERLINK("https://znanium.ru/catalog/product/1974375", "Ознакомиться")</f>
        <v>Ознакомиться</v>
      </c>
      <c r="W854" s="8" t="s">
        <v>3294</v>
      </c>
      <c r="X854" s="6"/>
      <c r="Y854" s="6"/>
      <c r="Z854" s="6"/>
      <c r="AA854" s="6" t="s">
        <v>843</v>
      </c>
    </row>
    <row r="855" spans="1:27" s="4" customFormat="1" ht="51.95" customHeight="1">
      <c r="A855" s="5">
        <v>0</v>
      </c>
      <c r="B855" s="6" t="s">
        <v>4724</v>
      </c>
      <c r="C855" s="13">
        <v>672</v>
      </c>
      <c r="D855" s="8" t="s">
        <v>4725</v>
      </c>
      <c r="E855" s="8" t="s">
        <v>4726</v>
      </c>
      <c r="F855" s="8" t="s">
        <v>4721</v>
      </c>
      <c r="G855" s="6" t="s">
        <v>58</v>
      </c>
      <c r="H855" s="6" t="s">
        <v>52</v>
      </c>
      <c r="I855" s="8" t="s">
        <v>120</v>
      </c>
      <c r="J855" s="9">
        <v>1</v>
      </c>
      <c r="K855" s="9">
        <v>163</v>
      </c>
      <c r="L855" s="9">
        <v>2018</v>
      </c>
      <c r="M855" s="8" t="s">
        <v>4727</v>
      </c>
      <c r="N855" s="8" t="s">
        <v>40</v>
      </c>
      <c r="O855" s="8" t="s">
        <v>41</v>
      </c>
      <c r="P855" s="6" t="s">
        <v>75</v>
      </c>
      <c r="Q855" s="8" t="s">
        <v>76</v>
      </c>
      <c r="R855" s="10" t="s">
        <v>314</v>
      </c>
      <c r="S855" s="11" t="s">
        <v>4723</v>
      </c>
      <c r="T855" s="6"/>
      <c r="U855" s="28" t="str">
        <f>HYPERLINK("https://media.infra-m.ru/1088/1088228/cover/1088228.jpg", "Обложка")</f>
        <v>Обложка</v>
      </c>
      <c r="V855" s="28" t="str">
        <f>HYPERLINK("https://znanium.ru/catalog/product/1974375", "Ознакомиться")</f>
        <v>Ознакомиться</v>
      </c>
      <c r="W855" s="8" t="s">
        <v>3294</v>
      </c>
      <c r="X855" s="6"/>
      <c r="Y855" s="6"/>
      <c r="Z855" s="6"/>
      <c r="AA855" s="6" t="s">
        <v>592</v>
      </c>
    </row>
    <row r="856" spans="1:27" s="4" customFormat="1" ht="44.1" customHeight="1">
      <c r="A856" s="5">
        <v>0</v>
      </c>
      <c r="B856" s="6" t="s">
        <v>4728</v>
      </c>
      <c r="C856" s="7">
        <v>1745.9</v>
      </c>
      <c r="D856" s="8" t="s">
        <v>4729</v>
      </c>
      <c r="E856" s="8" t="s">
        <v>4730</v>
      </c>
      <c r="F856" s="8" t="s">
        <v>4055</v>
      </c>
      <c r="G856" s="6" t="s">
        <v>58</v>
      </c>
      <c r="H856" s="6" t="s">
        <v>38</v>
      </c>
      <c r="I856" s="8"/>
      <c r="J856" s="9">
        <v>1</v>
      </c>
      <c r="K856" s="9">
        <v>384</v>
      </c>
      <c r="L856" s="9">
        <v>2022</v>
      </c>
      <c r="M856" s="8" t="s">
        <v>4731</v>
      </c>
      <c r="N856" s="8" t="s">
        <v>40</v>
      </c>
      <c r="O856" s="8" t="s">
        <v>41</v>
      </c>
      <c r="P856" s="6" t="s">
        <v>95</v>
      </c>
      <c r="Q856" s="8" t="s">
        <v>76</v>
      </c>
      <c r="R856" s="10" t="s">
        <v>4732</v>
      </c>
      <c r="S856" s="11"/>
      <c r="T856" s="6"/>
      <c r="U856" s="28" t="str">
        <f>HYPERLINK("https://media.infra-m.ru/1852/1852230/cover/1852230.jpg", "Обложка")</f>
        <v>Обложка</v>
      </c>
      <c r="V856" s="28" t="str">
        <f>HYPERLINK("https://znanium.ru/catalog/product/1852230", "Ознакомиться")</f>
        <v>Ознакомиться</v>
      </c>
      <c r="W856" s="8" t="s">
        <v>78</v>
      </c>
      <c r="X856" s="6"/>
      <c r="Y856" s="6"/>
      <c r="Z856" s="6"/>
      <c r="AA856" s="6" t="s">
        <v>88</v>
      </c>
    </row>
    <row r="857" spans="1:27" s="4" customFormat="1" ht="51.95" customHeight="1">
      <c r="A857" s="5">
        <v>0</v>
      </c>
      <c r="B857" s="6" t="s">
        <v>4733</v>
      </c>
      <c r="C857" s="7">
        <v>1092</v>
      </c>
      <c r="D857" s="8" t="s">
        <v>4734</v>
      </c>
      <c r="E857" s="8" t="s">
        <v>4735</v>
      </c>
      <c r="F857" s="8" t="s">
        <v>4736</v>
      </c>
      <c r="G857" s="6" t="s">
        <v>37</v>
      </c>
      <c r="H857" s="6" t="s">
        <v>38</v>
      </c>
      <c r="I857" s="8"/>
      <c r="J857" s="9">
        <v>1</v>
      </c>
      <c r="K857" s="9">
        <v>200</v>
      </c>
      <c r="L857" s="9">
        <v>2022</v>
      </c>
      <c r="M857" s="8" t="s">
        <v>4737</v>
      </c>
      <c r="N857" s="8" t="s">
        <v>40</v>
      </c>
      <c r="O857" s="8" t="s">
        <v>41</v>
      </c>
      <c r="P857" s="6" t="s">
        <v>42</v>
      </c>
      <c r="Q857" s="8" t="s">
        <v>43</v>
      </c>
      <c r="R857" s="10" t="s">
        <v>1947</v>
      </c>
      <c r="S857" s="11"/>
      <c r="T857" s="6"/>
      <c r="U857" s="28" t="str">
        <f>HYPERLINK("https://media.infra-m.ru/1856/1856727/cover/1856727.jpg", "Обложка")</f>
        <v>Обложка</v>
      </c>
      <c r="V857" s="28" t="str">
        <f>HYPERLINK("https://znanium.ru/catalog/product/1244616", "Ознакомиться")</f>
        <v>Ознакомиться</v>
      </c>
      <c r="W857" s="8" t="s">
        <v>4738</v>
      </c>
      <c r="X857" s="6"/>
      <c r="Y857" s="6"/>
      <c r="Z857" s="6"/>
      <c r="AA857" s="6" t="s">
        <v>62</v>
      </c>
    </row>
    <row r="858" spans="1:27" s="4" customFormat="1" ht="42" customHeight="1">
      <c r="A858" s="5">
        <v>0</v>
      </c>
      <c r="B858" s="6" t="s">
        <v>4739</v>
      </c>
      <c r="C858" s="7">
        <v>3024</v>
      </c>
      <c r="D858" s="8" t="s">
        <v>4740</v>
      </c>
      <c r="E858" s="8" t="s">
        <v>4741</v>
      </c>
      <c r="F858" s="8" t="s">
        <v>57</v>
      </c>
      <c r="G858" s="6" t="s">
        <v>58</v>
      </c>
      <c r="H858" s="6" t="s">
        <v>38</v>
      </c>
      <c r="I858" s="8"/>
      <c r="J858" s="9">
        <v>1</v>
      </c>
      <c r="K858" s="9">
        <v>536</v>
      </c>
      <c r="L858" s="9">
        <v>2024</v>
      </c>
      <c r="M858" s="8" t="s">
        <v>4742</v>
      </c>
      <c r="N858" s="8" t="s">
        <v>40</v>
      </c>
      <c r="O858" s="8" t="s">
        <v>41</v>
      </c>
      <c r="P858" s="6" t="s">
        <v>42</v>
      </c>
      <c r="Q858" s="8" t="s">
        <v>43</v>
      </c>
      <c r="R858" s="10" t="s">
        <v>308</v>
      </c>
      <c r="S858" s="11"/>
      <c r="T858" s="6"/>
      <c r="U858" s="28" t="str">
        <f>HYPERLINK("https://media.infra-m.ru/2137/2137110/cover/2137110.jpg", "Обложка")</f>
        <v>Обложка</v>
      </c>
      <c r="V858" s="28" t="str">
        <f>HYPERLINK("https://znanium.ru/catalog/product/1958344", "Ознакомиться")</f>
        <v>Ознакомиться</v>
      </c>
      <c r="W858" s="8" t="s">
        <v>61</v>
      </c>
      <c r="X858" s="6"/>
      <c r="Y858" s="6"/>
      <c r="Z858" s="6"/>
      <c r="AA858" s="6" t="s">
        <v>1842</v>
      </c>
    </row>
    <row r="859" spans="1:27" s="4" customFormat="1" ht="42" customHeight="1">
      <c r="A859" s="5">
        <v>0</v>
      </c>
      <c r="B859" s="6" t="s">
        <v>4743</v>
      </c>
      <c r="C859" s="7">
        <v>1992</v>
      </c>
      <c r="D859" s="8" t="s">
        <v>4744</v>
      </c>
      <c r="E859" s="8" t="s">
        <v>4745</v>
      </c>
      <c r="F859" s="8" t="s">
        <v>57</v>
      </c>
      <c r="G859" s="6" t="s">
        <v>37</v>
      </c>
      <c r="H859" s="6" t="s">
        <v>38</v>
      </c>
      <c r="I859" s="8"/>
      <c r="J859" s="9">
        <v>1</v>
      </c>
      <c r="K859" s="9">
        <v>368</v>
      </c>
      <c r="L859" s="9">
        <v>2023</v>
      </c>
      <c r="M859" s="8" t="s">
        <v>4746</v>
      </c>
      <c r="N859" s="8" t="s">
        <v>40</v>
      </c>
      <c r="O859" s="8" t="s">
        <v>41</v>
      </c>
      <c r="P859" s="6" t="s">
        <v>42</v>
      </c>
      <c r="Q859" s="8" t="s">
        <v>43</v>
      </c>
      <c r="R859" s="10" t="s">
        <v>308</v>
      </c>
      <c r="S859" s="11"/>
      <c r="T859" s="6"/>
      <c r="U859" s="28" t="str">
        <f>HYPERLINK("https://media.infra-m.ru/1912/1912908/cover/1912908.jpg", "Обложка")</f>
        <v>Обложка</v>
      </c>
      <c r="V859" s="28" t="str">
        <f>HYPERLINK("https://znanium.ru/catalog/product/1958344", "Ознакомиться")</f>
        <v>Ознакомиться</v>
      </c>
      <c r="W859" s="8" t="s">
        <v>61</v>
      </c>
      <c r="X859" s="6"/>
      <c r="Y859" s="6"/>
      <c r="Z859" s="6"/>
      <c r="AA859" s="6" t="s">
        <v>171</v>
      </c>
    </row>
    <row r="860" spans="1:27" s="4" customFormat="1" ht="42" customHeight="1">
      <c r="A860" s="5">
        <v>0</v>
      </c>
      <c r="B860" s="6" t="s">
        <v>4747</v>
      </c>
      <c r="C860" s="7">
        <v>2212.8000000000002</v>
      </c>
      <c r="D860" s="8" t="s">
        <v>4748</v>
      </c>
      <c r="E860" s="8" t="s">
        <v>4749</v>
      </c>
      <c r="F860" s="8" t="s">
        <v>4750</v>
      </c>
      <c r="G860" s="6" t="s">
        <v>58</v>
      </c>
      <c r="H860" s="6" t="s">
        <v>38</v>
      </c>
      <c r="I860" s="8"/>
      <c r="J860" s="9">
        <v>1</v>
      </c>
      <c r="K860" s="9">
        <v>400</v>
      </c>
      <c r="L860" s="9">
        <v>2024</v>
      </c>
      <c r="M860" s="8" t="s">
        <v>4751</v>
      </c>
      <c r="N860" s="8" t="s">
        <v>40</v>
      </c>
      <c r="O860" s="8" t="s">
        <v>41</v>
      </c>
      <c r="P860" s="6" t="s">
        <v>42</v>
      </c>
      <c r="Q860" s="8" t="s">
        <v>43</v>
      </c>
      <c r="R860" s="10" t="s">
        <v>4752</v>
      </c>
      <c r="S860" s="11"/>
      <c r="T860" s="6"/>
      <c r="U860" s="28" t="str">
        <f>HYPERLINK("https://media.infra-m.ru/2122/2122905/cover/2122905.jpg", "Обложка")</f>
        <v>Обложка</v>
      </c>
      <c r="V860" s="28" t="str">
        <f>HYPERLINK("https://znanium.ru/catalog/product/1859590", "Ознакомиться")</f>
        <v>Ознакомиться</v>
      </c>
      <c r="W860" s="8" t="s">
        <v>423</v>
      </c>
      <c r="X860" s="6"/>
      <c r="Y860" s="6"/>
      <c r="Z860" s="6"/>
      <c r="AA860" s="6" t="s">
        <v>431</v>
      </c>
    </row>
    <row r="861" spans="1:27" s="4" customFormat="1" ht="51.95" customHeight="1">
      <c r="A861" s="5">
        <v>0</v>
      </c>
      <c r="B861" s="6" t="s">
        <v>4753</v>
      </c>
      <c r="C861" s="13">
        <v>972</v>
      </c>
      <c r="D861" s="8" t="s">
        <v>4754</v>
      </c>
      <c r="E861" s="8" t="s">
        <v>4755</v>
      </c>
      <c r="F861" s="8" t="s">
        <v>4756</v>
      </c>
      <c r="G861" s="6" t="s">
        <v>37</v>
      </c>
      <c r="H861" s="6" t="s">
        <v>84</v>
      </c>
      <c r="I861" s="8" t="s">
        <v>93</v>
      </c>
      <c r="J861" s="9">
        <v>1</v>
      </c>
      <c r="K861" s="9">
        <v>175</v>
      </c>
      <c r="L861" s="9">
        <v>2024</v>
      </c>
      <c r="M861" s="8" t="s">
        <v>4757</v>
      </c>
      <c r="N861" s="8" t="s">
        <v>40</v>
      </c>
      <c r="O861" s="8" t="s">
        <v>41</v>
      </c>
      <c r="P861" s="6" t="s">
        <v>75</v>
      </c>
      <c r="Q861" s="8" t="s">
        <v>96</v>
      </c>
      <c r="R861" s="10" t="s">
        <v>135</v>
      </c>
      <c r="S861" s="11" t="s">
        <v>4758</v>
      </c>
      <c r="T861" s="6"/>
      <c r="U861" s="28" t="str">
        <f>HYPERLINK("https://media.infra-m.ru/2115/2115724/cover/2115724.jpg", "Обложка")</f>
        <v>Обложка</v>
      </c>
      <c r="V861" s="28" t="str">
        <f>HYPERLINK("https://znanium.ru/catalog/product/2115724", "Ознакомиться")</f>
        <v>Ознакомиться</v>
      </c>
      <c r="W861" s="8" t="s">
        <v>170</v>
      </c>
      <c r="X861" s="6"/>
      <c r="Y861" s="6"/>
      <c r="Z861" s="6"/>
      <c r="AA861" s="6" t="s">
        <v>115</v>
      </c>
    </row>
    <row r="862" spans="1:27" s="4" customFormat="1" ht="51.95" customHeight="1">
      <c r="A862" s="5">
        <v>0</v>
      </c>
      <c r="B862" s="6" t="s">
        <v>4759</v>
      </c>
      <c r="C862" s="7">
        <v>2513.9</v>
      </c>
      <c r="D862" s="8" t="s">
        <v>4760</v>
      </c>
      <c r="E862" s="8" t="s">
        <v>4761</v>
      </c>
      <c r="F862" s="8" t="s">
        <v>4031</v>
      </c>
      <c r="G862" s="6" t="s">
        <v>51</v>
      </c>
      <c r="H862" s="6" t="s">
        <v>38</v>
      </c>
      <c r="I862" s="8"/>
      <c r="J862" s="9">
        <v>1</v>
      </c>
      <c r="K862" s="9">
        <v>688</v>
      </c>
      <c r="L862" s="9">
        <v>2022</v>
      </c>
      <c r="M862" s="8" t="s">
        <v>4762</v>
      </c>
      <c r="N862" s="8" t="s">
        <v>40</v>
      </c>
      <c r="O862" s="8" t="s">
        <v>41</v>
      </c>
      <c r="P862" s="6" t="s">
        <v>299</v>
      </c>
      <c r="Q862" s="8" t="s">
        <v>43</v>
      </c>
      <c r="R862" s="10" t="s">
        <v>4763</v>
      </c>
      <c r="S862" s="11"/>
      <c r="T862" s="6"/>
      <c r="U862" s="28" t="str">
        <f>HYPERLINK("https://media.infra-m.ru/1877/1877506/cover/1877506.jpg", "Обложка")</f>
        <v>Обложка</v>
      </c>
      <c r="V862" s="28" t="str">
        <f>HYPERLINK("https://znanium.ru/catalog/product/1091999", "Ознакомиться")</f>
        <v>Ознакомиться</v>
      </c>
      <c r="W862" s="8" t="s">
        <v>743</v>
      </c>
      <c r="X862" s="6"/>
      <c r="Y862" s="6"/>
      <c r="Z862" s="6"/>
      <c r="AA862" s="6" t="s">
        <v>293</v>
      </c>
    </row>
    <row r="863" spans="1:27" s="4" customFormat="1" ht="51.95" customHeight="1">
      <c r="A863" s="5">
        <v>0</v>
      </c>
      <c r="B863" s="6" t="s">
        <v>4764</v>
      </c>
      <c r="C863" s="7">
        <v>1296</v>
      </c>
      <c r="D863" s="8" t="s">
        <v>4765</v>
      </c>
      <c r="E863" s="8" t="s">
        <v>4766</v>
      </c>
      <c r="F863" s="8" t="s">
        <v>4767</v>
      </c>
      <c r="G863" s="6" t="s">
        <v>37</v>
      </c>
      <c r="H863" s="6" t="s">
        <v>84</v>
      </c>
      <c r="I863" s="8" t="s">
        <v>85</v>
      </c>
      <c r="J863" s="9">
        <v>1</v>
      </c>
      <c r="K863" s="9">
        <v>240</v>
      </c>
      <c r="L863" s="9">
        <v>2023</v>
      </c>
      <c r="M863" s="8" t="s">
        <v>4768</v>
      </c>
      <c r="N863" s="8" t="s">
        <v>40</v>
      </c>
      <c r="O863" s="8" t="s">
        <v>41</v>
      </c>
      <c r="P863" s="6" t="s">
        <v>42</v>
      </c>
      <c r="Q863" s="8" t="s">
        <v>43</v>
      </c>
      <c r="R863" s="10" t="s">
        <v>4769</v>
      </c>
      <c r="S863" s="11"/>
      <c r="T863" s="6"/>
      <c r="U863" s="28" t="str">
        <f>HYPERLINK("https://media.infra-m.ru/1913/1913673/cover/1913673.jpg", "Обложка")</f>
        <v>Обложка</v>
      </c>
      <c r="V863" s="28" t="str">
        <f>HYPERLINK("https://znanium.ru/catalog/product/1913673", "Ознакомиться")</f>
        <v>Ознакомиться</v>
      </c>
      <c r="W863" s="8" t="s">
        <v>45</v>
      </c>
      <c r="X863" s="6"/>
      <c r="Y863" s="6"/>
      <c r="Z863" s="6"/>
      <c r="AA863" s="6" t="s">
        <v>302</v>
      </c>
    </row>
    <row r="864" spans="1:27" s="4" customFormat="1" ht="51.95" customHeight="1">
      <c r="A864" s="5">
        <v>0</v>
      </c>
      <c r="B864" s="6" t="s">
        <v>4770</v>
      </c>
      <c r="C864" s="7">
        <v>2176.8000000000002</v>
      </c>
      <c r="D864" s="8" t="s">
        <v>4771</v>
      </c>
      <c r="E864" s="8" t="s">
        <v>4772</v>
      </c>
      <c r="F864" s="8" t="s">
        <v>4773</v>
      </c>
      <c r="G864" s="6" t="s">
        <v>37</v>
      </c>
      <c r="H864" s="6" t="s">
        <v>84</v>
      </c>
      <c r="I864" s="8" t="s">
        <v>93</v>
      </c>
      <c r="J864" s="9">
        <v>1</v>
      </c>
      <c r="K864" s="9">
        <v>386</v>
      </c>
      <c r="L864" s="9">
        <v>2024</v>
      </c>
      <c r="M864" s="8" t="s">
        <v>4774</v>
      </c>
      <c r="N864" s="8" t="s">
        <v>40</v>
      </c>
      <c r="O864" s="8" t="s">
        <v>41</v>
      </c>
      <c r="P864" s="6" t="s">
        <v>95</v>
      </c>
      <c r="Q864" s="8" t="s">
        <v>96</v>
      </c>
      <c r="R864" s="10" t="s">
        <v>4775</v>
      </c>
      <c r="S864" s="11" t="s">
        <v>4776</v>
      </c>
      <c r="T864" s="6"/>
      <c r="U864" s="28" t="str">
        <f>HYPERLINK("https://media.infra-m.ru/2146/2146235/cover/2146235.jpg", "Обложка")</f>
        <v>Обложка</v>
      </c>
      <c r="V864" s="28" t="str">
        <f>HYPERLINK("https://znanium.ru/catalog/product/1852890", "Ознакомиться")</f>
        <v>Ознакомиться</v>
      </c>
      <c r="W864" s="8" t="s">
        <v>3406</v>
      </c>
      <c r="X864" s="6"/>
      <c r="Y864" s="6"/>
      <c r="Z864" s="6"/>
      <c r="AA864" s="6" t="s">
        <v>79</v>
      </c>
    </row>
    <row r="865" spans="1:27" s="4" customFormat="1" ht="51.95" customHeight="1">
      <c r="A865" s="5">
        <v>0</v>
      </c>
      <c r="B865" s="6" t="s">
        <v>4777</v>
      </c>
      <c r="C865" s="7">
        <v>3108</v>
      </c>
      <c r="D865" s="8" t="s">
        <v>4778</v>
      </c>
      <c r="E865" s="8" t="s">
        <v>4779</v>
      </c>
      <c r="F865" s="8" t="s">
        <v>4780</v>
      </c>
      <c r="G865" s="6" t="s">
        <v>58</v>
      </c>
      <c r="H865" s="6" t="s">
        <v>38</v>
      </c>
      <c r="I865" s="8" t="s">
        <v>93</v>
      </c>
      <c r="J865" s="9">
        <v>1</v>
      </c>
      <c r="K865" s="9">
        <v>576</v>
      </c>
      <c r="L865" s="9">
        <v>2023</v>
      </c>
      <c r="M865" s="8" t="s">
        <v>4781</v>
      </c>
      <c r="N865" s="8" t="s">
        <v>40</v>
      </c>
      <c r="O865" s="8" t="s">
        <v>41</v>
      </c>
      <c r="P865" s="6" t="s">
        <v>95</v>
      </c>
      <c r="Q865" s="8" t="s">
        <v>96</v>
      </c>
      <c r="R865" s="10" t="s">
        <v>4233</v>
      </c>
      <c r="S865" s="11" t="s">
        <v>4782</v>
      </c>
      <c r="T865" s="6"/>
      <c r="U865" s="28" t="str">
        <f>HYPERLINK("https://media.infra-m.ru/1876/1876648/cover/1876648.jpg", "Обложка")</f>
        <v>Обложка</v>
      </c>
      <c r="V865" s="28" t="str">
        <f>HYPERLINK("https://znanium.ru/catalog/product/1876648", "Ознакомиться")</f>
        <v>Ознакомиться</v>
      </c>
      <c r="W865" s="8" t="s">
        <v>4783</v>
      </c>
      <c r="X865" s="6"/>
      <c r="Y865" s="6"/>
      <c r="Z865" s="6" t="s">
        <v>136</v>
      </c>
      <c r="AA865" s="6" t="s">
        <v>137</v>
      </c>
    </row>
    <row r="866" spans="1:27" s="4" customFormat="1" ht="51.95" customHeight="1">
      <c r="A866" s="5">
        <v>0</v>
      </c>
      <c r="B866" s="6" t="s">
        <v>4784</v>
      </c>
      <c r="C866" s="7">
        <v>1565.9</v>
      </c>
      <c r="D866" s="8" t="s">
        <v>4785</v>
      </c>
      <c r="E866" s="8" t="s">
        <v>4772</v>
      </c>
      <c r="F866" s="8" t="s">
        <v>4780</v>
      </c>
      <c r="G866" s="6" t="s">
        <v>58</v>
      </c>
      <c r="H866" s="6" t="s">
        <v>38</v>
      </c>
      <c r="I866" s="8"/>
      <c r="J866" s="9">
        <v>1</v>
      </c>
      <c r="K866" s="9">
        <v>384</v>
      </c>
      <c r="L866" s="9">
        <v>2019</v>
      </c>
      <c r="M866" s="8" t="s">
        <v>4786</v>
      </c>
      <c r="N866" s="8" t="s">
        <v>40</v>
      </c>
      <c r="O866" s="8" t="s">
        <v>41</v>
      </c>
      <c r="P866" s="6" t="s">
        <v>95</v>
      </c>
      <c r="Q866" s="8" t="s">
        <v>76</v>
      </c>
      <c r="R866" s="10" t="s">
        <v>4787</v>
      </c>
      <c r="S866" s="11" t="s">
        <v>4782</v>
      </c>
      <c r="T866" s="6"/>
      <c r="U866" s="28" t="str">
        <f>HYPERLINK("https://media.infra-m.ru/1081/1081407/cover/1081407.jpg", "Обложка")</f>
        <v>Обложка</v>
      </c>
      <c r="V866" s="28" t="str">
        <f>HYPERLINK("https://znanium.ru/catalog/product/1876691", "Ознакомиться")</f>
        <v>Ознакомиться</v>
      </c>
      <c r="W866" s="8" t="s">
        <v>4783</v>
      </c>
      <c r="X866" s="6"/>
      <c r="Y866" s="6"/>
      <c r="Z866" s="6"/>
      <c r="AA866" s="6" t="s">
        <v>88</v>
      </c>
    </row>
    <row r="867" spans="1:27" s="4" customFormat="1" ht="51.95" customHeight="1">
      <c r="A867" s="5">
        <v>0</v>
      </c>
      <c r="B867" s="6" t="s">
        <v>4788</v>
      </c>
      <c r="C867" s="7">
        <v>1476</v>
      </c>
      <c r="D867" s="8" t="s">
        <v>4789</v>
      </c>
      <c r="E867" s="8" t="s">
        <v>4772</v>
      </c>
      <c r="F867" s="8" t="s">
        <v>4780</v>
      </c>
      <c r="G867" s="6" t="s">
        <v>37</v>
      </c>
      <c r="H867" s="6" t="s">
        <v>38</v>
      </c>
      <c r="I867" s="8" t="s">
        <v>93</v>
      </c>
      <c r="J867" s="9">
        <v>1</v>
      </c>
      <c r="K867" s="9">
        <v>384</v>
      </c>
      <c r="L867" s="9">
        <v>2019</v>
      </c>
      <c r="M867" s="8" t="s">
        <v>4790</v>
      </c>
      <c r="N867" s="8" t="s">
        <v>40</v>
      </c>
      <c r="O867" s="8" t="s">
        <v>41</v>
      </c>
      <c r="P867" s="6" t="s">
        <v>95</v>
      </c>
      <c r="Q867" s="8" t="s">
        <v>96</v>
      </c>
      <c r="R867" s="10" t="s">
        <v>4233</v>
      </c>
      <c r="S867" s="11" t="s">
        <v>4782</v>
      </c>
      <c r="T867" s="6"/>
      <c r="U867" s="28" t="str">
        <f>HYPERLINK("https://media.infra-m.ru/1020/1020226/cover/1020226.jpg", "Обложка")</f>
        <v>Обложка</v>
      </c>
      <c r="V867" s="28" t="str">
        <f>HYPERLINK("https://znanium.ru/catalog/product/1876648", "Ознакомиться")</f>
        <v>Ознакомиться</v>
      </c>
      <c r="W867" s="8" t="s">
        <v>4783</v>
      </c>
      <c r="X867" s="6"/>
      <c r="Y867" s="6"/>
      <c r="Z867" s="6" t="s">
        <v>136</v>
      </c>
      <c r="AA867" s="6" t="s">
        <v>79</v>
      </c>
    </row>
    <row r="868" spans="1:27" s="4" customFormat="1" ht="51.95" customHeight="1">
      <c r="A868" s="5">
        <v>0</v>
      </c>
      <c r="B868" s="6" t="s">
        <v>4791</v>
      </c>
      <c r="C868" s="7">
        <v>3119.9</v>
      </c>
      <c r="D868" s="8" t="s">
        <v>4792</v>
      </c>
      <c r="E868" s="8" t="s">
        <v>4779</v>
      </c>
      <c r="F868" s="8" t="s">
        <v>4780</v>
      </c>
      <c r="G868" s="6" t="s">
        <v>58</v>
      </c>
      <c r="H868" s="6" t="s">
        <v>38</v>
      </c>
      <c r="I868" s="8"/>
      <c r="J868" s="9">
        <v>1</v>
      </c>
      <c r="K868" s="9">
        <v>576</v>
      </c>
      <c r="L868" s="9">
        <v>2023</v>
      </c>
      <c r="M868" s="8" t="s">
        <v>4793</v>
      </c>
      <c r="N868" s="8" t="s">
        <v>40</v>
      </c>
      <c r="O868" s="8" t="s">
        <v>41</v>
      </c>
      <c r="P868" s="6" t="s">
        <v>95</v>
      </c>
      <c r="Q868" s="8" t="s">
        <v>76</v>
      </c>
      <c r="R868" s="10" t="s">
        <v>4787</v>
      </c>
      <c r="S868" s="11" t="s">
        <v>4782</v>
      </c>
      <c r="T868" s="6"/>
      <c r="U868" s="28" t="str">
        <f>HYPERLINK("https://media.infra-m.ru/1876/1876691/cover/1876691.jpg", "Обложка")</f>
        <v>Обложка</v>
      </c>
      <c r="V868" s="28" t="str">
        <f>HYPERLINK("https://znanium.ru/catalog/product/1876691", "Ознакомиться")</f>
        <v>Ознакомиться</v>
      </c>
      <c r="W868" s="8" t="s">
        <v>4783</v>
      </c>
      <c r="X868" s="6"/>
      <c r="Y868" s="6"/>
      <c r="Z868" s="6"/>
      <c r="AA868" s="6" t="s">
        <v>137</v>
      </c>
    </row>
    <row r="869" spans="1:27" s="4" customFormat="1" ht="51.95" customHeight="1">
      <c r="A869" s="5">
        <v>0</v>
      </c>
      <c r="B869" s="6" t="s">
        <v>4794</v>
      </c>
      <c r="C869" s="7">
        <v>1380</v>
      </c>
      <c r="D869" s="8" t="s">
        <v>4795</v>
      </c>
      <c r="E869" s="8" t="s">
        <v>4796</v>
      </c>
      <c r="F869" s="8" t="s">
        <v>4797</v>
      </c>
      <c r="G869" s="6" t="s">
        <v>37</v>
      </c>
      <c r="H869" s="6" t="s">
        <v>38</v>
      </c>
      <c r="I869" s="8"/>
      <c r="J869" s="9">
        <v>1</v>
      </c>
      <c r="K869" s="9">
        <v>244</v>
      </c>
      <c r="L869" s="9">
        <v>2024</v>
      </c>
      <c r="M869" s="8" t="s">
        <v>4798</v>
      </c>
      <c r="N869" s="8" t="s">
        <v>40</v>
      </c>
      <c r="O869" s="8" t="s">
        <v>41</v>
      </c>
      <c r="P869" s="6" t="s">
        <v>42</v>
      </c>
      <c r="Q869" s="8" t="s">
        <v>43</v>
      </c>
      <c r="R869" s="10" t="s">
        <v>122</v>
      </c>
      <c r="S869" s="11"/>
      <c r="T869" s="6"/>
      <c r="U869" s="28" t="str">
        <f>HYPERLINK("https://media.infra-m.ru/2132/2132327/cover/2132327.jpg", "Обложка")</f>
        <v>Обложка</v>
      </c>
      <c r="V869" s="28" t="str">
        <f>HYPERLINK("https://znanium.ru/catalog/product/2132327", "Ознакомиться")</f>
        <v>Ознакомиться</v>
      </c>
      <c r="W869" s="8" t="s">
        <v>1393</v>
      </c>
      <c r="X869" s="6"/>
      <c r="Y869" s="6"/>
      <c r="Z869" s="6"/>
      <c r="AA869" s="6" t="s">
        <v>100</v>
      </c>
    </row>
    <row r="870" spans="1:27" s="4" customFormat="1" ht="51.95" customHeight="1">
      <c r="A870" s="5">
        <v>0</v>
      </c>
      <c r="B870" s="6" t="s">
        <v>4799</v>
      </c>
      <c r="C870" s="7">
        <v>2076</v>
      </c>
      <c r="D870" s="8" t="s">
        <v>4800</v>
      </c>
      <c r="E870" s="8" t="s">
        <v>4801</v>
      </c>
      <c r="F870" s="8" t="s">
        <v>1816</v>
      </c>
      <c r="G870" s="6" t="s">
        <v>37</v>
      </c>
      <c r="H870" s="6" t="s">
        <v>38</v>
      </c>
      <c r="I870" s="8"/>
      <c r="J870" s="9">
        <v>1</v>
      </c>
      <c r="K870" s="9">
        <v>384</v>
      </c>
      <c r="L870" s="9">
        <v>2023</v>
      </c>
      <c r="M870" s="8" t="s">
        <v>4802</v>
      </c>
      <c r="N870" s="8" t="s">
        <v>40</v>
      </c>
      <c r="O870" s="8" t="s">
        <v>41</v>
      </c>
      <c r="P870" s="6" t="s">
        <v>75</v>
      </c>
      <c r="Q870" s="8" t="s">
        <v>76</v>
      </c>
      <c r="R870" s="10" t="s">
        <v>122</v>
      </c>
      <c r="S870" s="11"/>
      <c r="T870" s="6" t="s">
        <v>378</v>
      </c>
      <c r="U870" s="28" t="str">
        <f>HYPERLINK("https://media.infra-m.ru/1913/1913680/cover/1913680.jpg", "Обложка")</f>
        <v>Обложка</v>
      </c>
      <c r="V870" s="28" t="str">
        <f>HYPERLINK("https://znanium.ru/catalog/product/1913680", "Ознакомиться")</f>
        <v>Ознакомиться</v>
      </c>
      <c r="W870" s="8" t="s">
        <v>1393</v>
      </c>
      <c r="X870" s="6"/>
      <c r="Y870" s="6"/>
      <c r="Z870" s="6"/>
      <c r="AA870" s="6" t="s">
        <v>302</v>
      </c>
    </row>
    <row r="871" spans="1:27" s="4" customFormat="1" ht="51.95" customHeight="1">
      <c r="A871" s="5">
        <v>0</v>
      </c>
      <c r="B871" s="6" t="s">
        <v>4803</v>
      </c>
      <c r="C871" s="7">
        <v>1584</v>
      </c>
      <c r="D871" s="8" t="s">
        <v>4804</v>
      </c>
      <c r="E871" s="8" t="s">
        <v>4805</v>
      </c>
      <c r="F871" s="8" t="s">
        <v>2284</v>
      </c>
      <c r="G871" s="6" t="s">
        <v>51</v>
      </c>
      <c r="H871" s="6" t="s">
        <v>84</v>
      </c>
      <c r="I871" s="8" t="s">
        <v>250</v>
      </c>
      <c r="J871" s="9">
        <v>1</v>
      </c>
      <c r="K871" s="9">
        <v>293</v>
      </c>
      <c r="L871" s="9">
        <v>2023</v>
      </c>
      <c r="M871" s="8" t="s">
        <v>4806</v>
      </c>
      <c r="N871" s="8" t="s">
        <v>40</v>
      </c>
      <c r="O871" s="8" t="s">
        <v>41</v>
      </c>
      <c r="P871" s="6" t="s">
        <v>42</v>
      </c>
      <c r="Q871" s="8" t="s">
        <v>43</v>
      </c>
      <c r="R871" s="10" t="s">
        <v>4807</v>
      </c>
      <c r="S871" s="11"/>
      <c r="T871" s="6"/>
      <c r="U871" s="28" t="str">
        <f>HYPERLINK("https://media.infra-m.ru/1898/1898824/cover/1898824.jpg", "Обложка")</f>
        <v>Обложка</v>
      </c>
      <c r="V871" s="28" t="str">
        <f>HYPERLINK("https://znanium.ru/catalog/product/1898824", "Ознакомиться")</f>
        <v>Ознакомиться</v>
      </c>
      <c r="W871" s="8" t="s">
        <v>2287</v>
      </c>
      <c r="X871" s="6"/>
      <c r="Y871" s="6"/>
      <c r="Z871" s="6"/>
      <c r="AA871" s="6" t="s">
        <v>79</v>
      </c>
    </row>
    <row r="872" spans="1:27" s="4" customFormat="1" ht="44.1" customHeight="1">
      <c r="A872" s="5">
        <v>0</v>
      </c>
      <c r="B872" s="6" t="s">
        <v>4808</v>
      </c>
      <c r="C872" s="13">
        <v>912</v>
      </c>
      <c r="D872" s="8" t="s">
        <v>4809</v>
      </c>
      <c r="E872" s="8" t="s">
        <v>4810</v>
      </c>
      <c r="F872" s="8" t="s">
        <v>4811</v>
      </c>
      <c r="G872" s="6" t="s">
        <v>37</v>
      </c>
      <c r="H872" s="6" t="s">
        <v>38</v>
      </c>
      <c r="I872" s="8"/>
      <c r="J872" s="9">
        <v>1</v>
      </c>
      <c r="K872" s="9">
        <v>168</v>
      </c>
      <c r="L872" s="9">
        <v>2023</v>
      </c>
      <c r="M872" s="8" t="s">
        <v>4812</v>
      </c>
      <c r="N872" s="8" t="s">
        <v>40</v>
      </c>
      <c r="O872" s="8" t="s">
        <v>41</v>
      </c>
      <c r="P872" s="6" t="s">
        <v>42</v>
      </c>
      <c r="Q872" s="8" t="s">
        <v>43</v>
      </c>
      <c r="R872" s="10" t="s">
        <v>2253</v>
      </c>
      <c r="S872" s="11"/>
      <c r="T872" s="6"/>
      <c r="U872" s="28" t="str">
        <f>HYPERLINK("https://media.infra-m.ru/1991/1991044/cover/1991044.jpg", "Обложка")</f>
        <v>Обложка</v>
      </c>
      <c r="V872" s="28" t="str">
        <f>HYPERLINK("https://znanium.ru/catalog/product/1991044", "Ознакомиться")</f>
        <v>Ознакомиться</v>
      </c>
      <c r="W872" s="8" t="s">
        <v>124</v>
      </c>
      <c r="X872" s="6"/>
      <c r="Y872" s="6"/>
      <c r="Z872" s="6"/>
      <c r="AA872" s="6" t="s">
        <v>353</v>
      </c>
    </row>
    <row r="873" spans="1:27" s="4" customFormat="1" ht="42" customHeight="1">
      <c r="A873" s="5">
        <v>0</v>
      </c>
      <c r="B873" s="6" t="s">
        <v>4813</v>
      </c>
      <c r="C873" s="7">
        <v>1680</v>
      </c>
      <c r="D873" s="8" t="s">
        <v>4814</v>
      </c>
      <c r="E873" s="8" t="s">
        <v>4815</v>
      </c>
      <c r="F873" s="8" t="s">
        <v>631</v>
      </c>
      <c r="G873" s="6" t="s">
        <v>51</v>
      </c>
      <c r="H873" s="6" t="s">
        <v>84</v>
      </c>
      <c r="I873" s="8" t="s">
        <v>85</v>
      </c>
      <c r="J873" s="9">
        <v>1</v>
      </c>
      <c r="K873" s="9">
        <v>304</v>
      </c>
      <c r="L873" s="9">
        <v>2024</v>
      </c>
      <c r="M873" s="8" t="s">
        <v>4816</v>
      </c>
      <c r="N873" s="8" t="s">
        <v>40</v>
      </c>
      <c r="O873" s="8" t="s">
        <v>41</v>
      </c>
      <c r="P873" s="6" t="s">
        <v>42</v>
      </c>
      <c r="Q873" s="8" t="s">
        <v>43</v>
      </c>
      <c r="R873" s="10" t="s">
        <v>932</v>
      </c>
      <c r="S873" s="11"/>
      <c r="T873" s="6"/>
      <c r="U873" s="28" t="str">
        <f>HYPERLINK("https://media.infra-m.ru/2125/2125840/cover/2125840.jpg", "Обложка")</f>
        <v>Обложка</v>
      </c>
      <c r="V873" s="28" t="str">
        <f>HYPERLINK("https://znanium.ru/catalog/product/2125840", "Ознакомиться")</f>
        <v>Ознакомиться</v>
      </c>
      <c r="W873" s="8" t="s">
        <v>45</v>
      </c>
      <c r="X873" s="6"/>
      <c r="Y873" s="6"/>
      <c r="Z873" s="6"/>
      <c r="AA873" s="6" t="s">
        <v>148</v>
      </c>
    </row>
    <row r="874" spans="1:27" s="4" customFormat="1" ht="51.95" customHeight="1">
      <c r="A874" s="5">
        <v>0</v>
      </c>
      <c r="B874" s="6" t="s">
        <v>4817</v>
      </c>
      <c r="C874" s="7">
        <v>2070</v>
      </c>
      <c r="D874" s="8" t="s">
        <v>4818</v>
      </c>
      <c r="E874" s="8" t="s">
        <v>4819</v>
      </c>
      <c r="F874" s="8" t="s">
        <v>4820</v>
      </c>
      <c r="G874" s="6" t="s">
        <v>58</v>
      </c>
      <c r="H874" s="6" t="s">
        <v>38</v>
      </c>
      <c r="I874" s="8"/>
      <c r="J874" s="9">
        <v>1</v>
      </c>
      <c r="K874" s="9">
        <v>384</v>
      </c>
      <c r="L874" s="9">
        <v>2023</v>
      </c>
      <c r="M874" s="8" t="s">
        <v>4821</v>
      </c>
      <c r="N874" s="8" t="s">
        <v>40</v>
      </c>
      <c r="O874" s="8" t="s">
        <v>41</v>
      </c>
      <c r="P874" s="6" t="s">
        <v>42</v>
      </c>
      <c r="Q874" s="8" t="s">
        <v>43</v>
      </c>
      <c r="R874" s="10" t="s">
        <v>4822</v>
      </c>
      <c r="S874" s="11"/>
      <c r="T874" s="6"/>
      <c r="U874" s="28" t="str">
        <f>HYPERLINK("https://media.infra-m.ru/2006/2006084/cover/2006084.jpg", "Обложка")</f>
        <v>Обложка</v>
      </c>
      <c r="V874" s="28" t="str">
        <f>HYPERLINK("https://znanium.ru/catalog/product/1092001", "Ознакомиться")</f>
        <v>Ознакомиться</v>
      </c>
      <c r="W874" s="8" t="s">
        <v>723</v>
      </c>
      <c r="X874" s="6"/>
      <c r="Y874" s="6"/>
      <c r="Z874" s="6"/>
      <c r="AA874" s="6" t="s">
        <v>148</v>
      </c>
    </row>
    <row r="875" spans="1:27" s="4" customFormat="1" ht="42" customHeight="1">
      <c r="A875" s="5">
        <v>0</v>
      </c>
      <c r="B875" s="6" t="s">
        <v>4823</v>
      </c>
      <c r="C875" s="7">
        <v>1287.5999999999999</v>
      </c>
      <c r="D875" s="8" t="s">
        <v>4824</v>
      </c>
      <c r="E875" s="8" t="s">
        <v>4825</v>
      </c>
      <c r="F875" s="8"/>
      <c r="G875" s="6" t="s">
        <v>58</v>
      </c>
      <c r="H875" s="6" t="s">
        <v>38</v>
      </c>
      <c r="I875" s="8"/>
      <c r="J875" s="9">
        <v>1</v>
      </c>
      <c r="K875" s="9">
        <v>148</v>
      </c>
      <c r="L875" s="9">
        <v>2023</v>
      </c>
      <c r="M875" s="8" t="s">
        <v>4826</v>
      </c>
      <c r="N875" s="8" t="s">
        <v>40</v>
      </c>
      <c r="O875" s="8" t="s">
        <v>41</v>
      </c>
      <c r="P875" s="6" t="s">
        <v>299</v>
      </c>
      <c r="Q875" s="8" t="s">
        <v>43</v>
      </c>
      <c r="R875" s="10" t="s">
        <v>69</v>
      </c>
      <c r="S875" s="11"/>
      <c r="T875" s="6"/>
      <c r="U875" s="28" t="str">
        <f>HYPERLINK("https://media.infra-m.ru/2022/2022202/cover/2022202.jpg", "Обложка")</f>
        <v>Обложка</v>
      </c>
      <c r="V875" s="28" t="str">
        <f>HYPERLINK("https://znanium.ru/catalog/product/2001620", "Ознакомиться")</f>
        <v>Ознакомиться</v>
      </c>
      <c r="W875" s="8"/>
      <c r="X875" s="6"/>
      <c r="Y875" s="6"/>
      <c r="Z875" s="6"/>
      <c r="AA875" s="6" t="s">
        <v>417</v>
      </c>
    </row>
    <row r="876" spans="1:27" s="4" customFormat="1" ht="42" customHeight="1">
      <c r="A876" s="5">
        <v>0</v>
      </c>
      <c r="B876" s="6" t="s">
        <v>4827</v>
      </c>
      <c r="C876" s="7">
        <v>1901.9</v>
      </c>
      <c r="D876" s="8" t="s">
        <v>4828</v>
      </c>
      <c r="E876" s="8" t="s">
        <v>4829</v>
      </c>
      <c r="F876" s="8" t="s">
        <v>4830</v>
      </c>
      <c r="G876" s="6" t="s">
        <v>58</v>
      </c>
      <c r="H876" s="6" t="s">
        <v>38</v>
      </c>
      <c r="I876" s="8"/>
      <c r="J876" s="9">
        <v>1</v>
      </c>
      <c r="K876" s="9">
        <v>352</v>
      </c>
      <c r="L876" s="9">
        <v>2023</v>
      </c>
      <c r="M876" s="8" t="s">
        <v>4831</v>
      </c>
      <c r="N876" s="8" t="s">
        <v>40</v>
      </c>
      <c r="O876" s="8" t="s">
        <v>41</v>
      </c>
      <c r="P876" s="6" t="s">
        <v>42</v>
      </c>
      <c r="Q876" s="8" t="s">
        <v>43</v>
      </c>
      <c r="R876" s="10" t="s">
        <v>314</v>
      </c>
      <c r="S876" s="11"/>
      <c r="T876" s="6"/>
      <c r="U876" s="28" t="str">
        <f>HYPERLINK("https://media.infra-m.ru/1911/1911214/cover/1911214.jpg", "Обложка")</f>
        <v>Обложка</v>
      </c>
      <c r="V876" s="28" t="str">
        <f>HYPERLINK("https://znanium.ru/catalog/product/515344", "Ознакомиться")</f>
        <v>Ознакомиться</v>
      </c>
      <c r="W876" s="8" t="s">
        <v>4832</v>
      </c>
      <c r="X876" s="6"/>
      <c r="Y876" s="6"/>
      <c r="Z876" s="6"/>
      <c r="AA876" s="6" t="s">
        <v>431</v>
      </c>
    </row>
    <row r="877" spans="1:27" s="4" customFormat="1" ht="42" customHeight="1">
      <c r="A877" s="5">
        <v>0</v>
      </c>
      <c r="B877" s="6" t="s">
        <v>4833</v>
      </c>
      <c r="C877" s="7">
        <v>1277.9000000000001</v>
      </c>
      <c r="D877" s="8" t="s">
        <v>4834</v>
      </c>
      <c r="E877" s="8" t="s">
        <v>4835</v>
      </c>
      <c r="F877" s="8" t="s">
        <v>3573</v>
      </c>
      <c r="G877" s="6" t="s">
        <v>58</v>
      </c>
      <c r="H877" s="6" t="s">
        <v>38</v>
      </c>
      <c r="I877" s="8"/>
      <c r="J877" s="9">
        <v>1</v>
      </c>
      <c r="K877" s="9">
        <v>288</v>
      </c>
      <c r="L877" s="9">
        <v>2021</v>
      </c>
      <c r="M877" s="8" t="s">
        <v>4836</v>
      </c>
      <c r="N877" s="8" t="s">
        <v>40</v>
      </c>
      <c r="O877" s="8" t="s">
        <v>41</v>
      </c>
      <c r="P877" s="6" t="s">
        <v>42</v>
      </c>
      <c r="Q877" s="8" t="s">
        <v>43</v>
      </c>
      <c r="R877" s="10" t="s">
        <v>932</v>
      </c>
      <c r="S877" s="11"/>
      <c r="T877" s="6"/>
      <c r="U877" s="28" t="str">
        <f>HYPERLINK("https://media.infra-m.ru/1221/1221171/cover/1221171.jpg", "Обложка")</f>
        <v>Обложка</v>
      </c>
      <c r="V877" s="28" t="str">
        <f>HYPERLINK("https://znanium.ru/catalog/product/1221171", "Ознакомиться")</f>
        <v>Ознакомиться</v>
      </c>
      <c r="W877" s="8" t="s">
        <v>78</v>
      </c>
      <c r="X877" s="6"/>
      <c r="Y877" s="6"/>
      <c r="Z877" s="6"/>
      <c r="AA877" s="6" t="s">
        <v>148</v>
      </c>
    </row>
    <row r="878" spans="1:27" s="4" customFormat="1" ht="42" customHeight="1">
      <c r="A878" s="5">
        <v>0</v>
      </c>
      <c r="B878" s="6" t="s">
        <v>4837</v>
      </c>
      <c r="C878" s="13">
        <v>996</v>
      </c>
      <c r="D878" s="8" t="s">
        <v>4838</v>
      </c>
      <c r="E878" s="8" t="s">
        <v>4839</v>
      </c>
      <c r="F878" s="8" t="s">
        <v>4840</v>
      </c>
      <c r="G878" s="6" t="s">
        <v>37</v>
      </c>
      <c r="H878" s="6" t="s">
        <v>84</v>
      </c>
      <c r="I878" s="8" t="s">
        <v>85</v>
      </c>
      <c r="J878" s="9">
        <v>1</v>
      </c>
      <c r="K878" s="9">
        <v>184</v>
      </c>
      <c r="L878" s="9">
        <v>2023</v>
      </c>
      <c r="M878" s="8" t="s">
        <v>4841</v>
      </c>
      <c r="N878" s="8" t="s">
        <v>40</v>
      </c>
      <c r="O878" s="8" t="s">
        <v>41</v>
      </c>
      <c r="P878" s="6" t="s">
        <v>841</v>
      </c>
      <c r="Q878" s="8" t="s">
        <v>43</v>
      </c>
      <c r="R878" s="10" t="s">
        <v>1615</v>
      </c>
      <c r="S878" s="11"/>
      <c r="T878" s="6"/>
      <c r="U878" s="28" t="str">
        <f>HYPERLINK("https://media.infra-m.ru/2007/2007878/cover/2007878.jpg", "Обложка")</f>
        <v>Обложка</v>
      </c>
      <c r="V878" s="28" t="str">
        <f>HYPERLINK("https://znanium.ru/catalog/product/2007878", "Ознакомиться")</f>
        <v>Ознакомиться</v>
      </c>
      <c r="W878" s="8" t="s">
        <v>45</v>
      </c>
      <c r="X878" s="6"/>
      <c r="Y878" s="6"/>
      <c r="Z878" s="6"/>
      <c r="AA878" s="6" t="s">
        <v>88</v>
      </c>
    </row>
    <row r="879" spans="1:27" s="4" customFormat="1" ht="51.95" customHeight="1">
      <c r="A879" s="5">
        <v>0</v>
      </c>
      <c r="B879" s="6" t="s">
        <v>4842</v>
      </c>
      <c r="C879" s="7">
        <v>1816.8</v>
      </c>
      <c r="D879" s="8" t="s">
        <v>4843</v>
      </c>
      <c r="E879" s="8" t="s">
        <v>4844</v>
      </c>
      <c r="F879" s="8" t="s">
        <v>4845</v>
      </c>
      <c r="G879" s="6" t="s">
        <v>37</v>
      </c>
      <c r="H879" s="6" t="s">
        <v>84</v>
      </c>
      <c r="I879" s="8" t="s">
        <v>1173</v>
      </c>
      <c r="J879" s="9">
        <v>1</v>
      </c>
      <c r="K879" s="9">
        <v>329</v>
      </c>
      <c r="L879" s="9">
        <v>2024</v>
      </c>
      <c r="M879" s="8" t="s">
        <v>4846</v>
      </c>
      <c r="N879" s="8" t="s">
        <v>40</v>
      </c>
      <c r="O879" s="8" t="s">
        <v>41</v>
      </c>
      <c r="P879" s="6" t="s">
        <v>75</v>
      </c>
      <c r="Q879" s="8" t="s">
        <v>1231</v>
      </c>
      <c r="R879" s="10" t="s">
        <v>4847</v>
      </c>
      <c r="S879" s="11" t="s">
        <v>4848</v>
      </c>
      <c r="T879" s="6" t="s">
        <v>378</v>
      </c>
      <c r="U879" s="28" t="str">
        <f>HYPERLINK("https://media.infra-m.ru/2096/2096109/cover/2096109.jpg", "Обложка")</f>
        <v>Обложка</v>
      </c>
      <c r="V879" s="28" t="str">
        <f>HYPERLINK("https://znanium.ru/catalog/product/1217733", "Ознакомиться")</f>
        <v>Ознакомиться</v>
      </c>
      <c r="W879" s="8" t="s">
        <v>124</v>
      </c>
      <c r="X879" s="6"/>
      <c r="Y879" s="6"/>
      <c r="Z879" s="6"/>
      <c r="AA879" s="6" t="s">
        <v>79</v>
      </c>
    </row>
    <row r="880" spans="1:27" s="4" customFormat="1" ht="42" customHeight="1">
      <c r="A880" s="5">
        <v>0</v>
      </c>
      <c r="B880" s="6" t="s">
        <v>4849</v>
      </c>
      <c r="C880" s="7">
        <v>1132.8</v>
      </c>
      <c r="D880" s="8" t="s">
        <v>4850</v>
      </c>
      <c r="E880" s="8" t="s">
        <v>4851</v>
      </c>
      <c r="F880" s="8" t="s">
        <v>4852</v>
      </c>
      <c r="G880" s="6" t="s">
        <v>37</v>
      </c>
      <c r="H880" s="6" t="s">
        <v>38</v>
      </c>
      <c r="I880" s="8"/>
      <c r="J880" s="9">
        <v>1</v>
      </c>
      <c r="K880" s="9">
        <v>200</v>
      </c>
      <c r="L880" s="9">
        <v>2024</v>
      </c>
      <c r="M880" s="8" t="s">
        <v>4853</v>
      </c>
      <c r="N880" s="8" t="s">
        <v>40</v>
      </c>
      <c r="O880" s="8" t="s">
        <v>41</v>
      </c>
      <c r="P880" s="6" t="s">
        <v>42</v>
      </c>
      <c r="Q880" s="8" t="s">
        <v>43</v>
      </c>
      <c r="R880" s="10" t="s">
        <v>445</v>
      </c>
      <c r="S880" s="11"/>
      <c r="T880" s="6"/>
      <c r="U880" s="28" t="str">
        <f>HYPERLINK("https://media.infra-m.ru/2133/2133761/cover/2133761.jpg", "Обложка")</f>
        <v>Обложка</v>
      </c>
      <c r="V880" s="28" t="str">
        <f>HYPERLINK("https://znanium.ru/catalog/product/1855605", "Ознакомиться")</f>
        <v>Ознакомиться</v>
      </c>
      <c r="W880" s="8" t="s">
        <v>170</v>
      </c>
      <c r="X880" s="6"/>
      <c r="Y880" s="6"/>
      <c r="Z880" s="6"/>
      <c r="AA880" s="6" t="s">
        <v>62</v>
      </c>
    </row>
    <row r="881" spans="1:27" s="4" customFormat="1" ht="51.95" customHeight="1">
      <c r="A881" s="5">
        <v>0</v>
      </c>
      <c r="B881" s="6" t="s">
        <v>4854</v>
      </c>
      <c r="C881" s="13">
        <v>233.9</v>
      </c>
      <c r="D881" s="8" t="s">
        <v>4855</v>
      </c>
      <c r="E881" s="8" t="s">
        <v>4856</v>
      </c>
      <c r="F881" s="8" t="s">
        <v>4857</v>
      </c>
      <c r="G881" s="6" t="s">
        <v>51</v>
      </c>
      <c r="H881" s="6" t="s">
        <v>52</v>
      </c>
      <c r="I881" s="8" t="s">
        <v>184</v>
      </c>
      <c r="J881" s="9">
        <v>1</v>
      </c>
      <c r="K881" s="9">
        <v>54</v>
      </c>
      <c r="L881" s="9">
        <v>2020</v>
      </c>
      <c r="M881" s="8" t="s">
        <v>4858</v>
      </c>
      <c r="N881" s="8" t="s">
        <v>40</v>
      </c>
      <c r="O881" s="8" t="s">
        <v>41</v>
      </c>
      <c r="P881" s="6" t="s">
        <v>75</v>
      </c>
      <c r="Q881" s="8" t="s">
        <v>76</v>
      </c>
      <c r="R881" s="10" t="s">
        <v>4859</v>
      </c>
      <c r="S881" s="11"/>
      <c r="T881" s="6"/>
      <c r="U881" s="28" t="str">
        <f>HYPERLINK("https://media.infra-m.ru/1077/1077266/cover/1077266.jpg", "Обложка")</f>
        <v>Обложка</v>
      </c>
      <c r="V881" s="28" t="str">
        <f>HYPERLINK("https://znanium.ru/catalog/product/1009318", "Ознакомиться")</f>
        <v>Ознакомиться</v>
      </c>
      <c r="W881" s="8" t="s">
        <v>4860</v>
      </c>
      <c r="X881" s="6"/>
      <c r="Y881" s="6"/>
      <c r="Z881" s="6"/>
      <c r="AA881" s="6" t="s">
        <v>302</v>
      </c>
    </row>
    <row r="882" spans="1:27" s="4" customFormat="1" ht="33" customHeight="1">
      <c r="A882" s="5">
        <v>0</v>
      </c>
      <c r="B882" s="6" t="s">
        <v>4861</v>
      </c>
      <c r="C882" s="7">
        <v>2392.8000000000002</v>
      </c>
      <c r="D882" s="8" t="s">
        <v>4862</v>
      </c>
      <c r="E882" s="8" t="s">
        <v>4863</v>
      </c>
      <c r="F882" s="8" t="s">
        <v>4864</v>
      </c>
      <c r="G882" s="6" t="s">
        <v>58</v>
      </c>
      <c r="H882" s="6" t="s">
        <v>410</v>
      </c>
      <c r="I882" s="8"/>
      <c r="J882" s="9">
        <v>1</v>
      </c>
      <c r="K882" s="9">
        <v>704</v>
      </c>
      <c r="L882" s="9">
        <v>2024</v>
      </c>
      <c r="M882" s="8"/>
      <c r="N882" s="8" t="s">
        <v>40</v>
      </c>
      <c r="O882" s="8" t="s">
        <v>41</v>
      </c>
      <c r="P882" s="6" t="s">
        <v>42</v>
      </c>
      <c r="Q882" s="8" t="s">
        <v>43</v>
      </c>
      <c r="R882" s="10" t="s">
        <v>932</v>
      </c>
      <c r="S882" s="11"/>
      <c r="T882" s="6"/>
      <c r="U882" s="12"/>
      <c r="V882" s="28" t="str">
        <f>HYPERLINK("https://znanium.ru/catalog/product/763682", "Ознакомиться")</f>
        <v>Ознакомиться</v>
      </c>
      <c r="W882" s="8" t="s">
        <v>423</v>
      </c>
      <c r="X882" s="6"/>
      <c r="Y882" s="6"/>
      <c r="Z882" s="6"/>
      <c r="AA882" s="6" t="s">
        <v>424</v>
      </c>
    </row>
    <row r="883" spans="1:27" s="4" customFormat="1" ht="51.95" customHeight="1">
      <c r="A883" s="5">
        <v>0</v>
      </c>
      <c r="B883" s="6" t="s">
        <v>4865</v>
      </c>
      <c r="C883" s="13">
        <v>533.9</v>
      </c>
      <c r="D883" s="8" t="s">
        <v>4866</v>
      </c>
      <c r="E883" s="8" t="s">
        <v>4867</v>
      </c>
      <c r="F883" s="8" t="s">
        <v>4868</v>
      </c>
      <c r="G883" s="6" t="s">
        <v>51</v>
      </c>
      <c r="H883" s="6" t="s">
        <v>38</v>
      </c>
      <c r="I883" s="8"/>
      <c r="J883" s="9">
        <v>1</v>
      </c>
      <c r="K883" s="9">
        <v>208</v>
      </c>
      <c r="L883" s="9">
        <v>2017</v>
      </c>
      <c r="M883" s="8" t="s">
        <v>4869</v>
      </c>
      <c r="N883" s="8" t="s">
        <v>40</v>
      </c>
      <c r="O883" s="8" t="s">
        <v>41</v>
      </c>
      <c r="P883" s="6" t="s">
        <v>4870</v>
      </c>
      <c r="Q883" s="8" t="s">
        <v>76</v>
      </c>
      <c r="R883" s="10" t="s">
        <v>314</v>
      </c>
      <c r="S883" s="11" t="s">
        <v>4871</v>
      </c>
      <c r="T883" s="6"/>
      <c r="U883" s="28" t="str">
        <f>HYPERLINK("https://media.infra-m.ru/0851/0851542/cover/851542.jpg", "Обложка")</f>
        <v>Обложка</v>
      </c>
      <c r="V883" s="28" t="str">
        <f>HYPERLINK("https://znanium.ru/catalog/product/2045923", "Ознакомиться")</f>
        <v>Ознакомиться</v>
      </c>
      <c r="W883" s="8" t="s">
        <v>4872</v>
      </c>
      <c r="X883" s="6"/>
      <c r="Y883" s="6"/>
      <c r="Z883" s="6"/>
      <c r="AA883" s="6" t="s">
        <v>293</v>
      </c>
    </row>
    <row r="884" spans="1:27" s="4" customFormat="1" ht="51.95" customHeight="1">
      <c r="A884" s="5">
        <v>0</v>
      </c>
      <c r="B884" s="6" t="s">
        <v>4873</v>
      </c>
      <c r="C884" s="7">
        <v>1240.8</v>
      </c>
      <c r="D884" s="8" t="s">
        <v>4874</v>
      </c>
      <c r="E884" s="8" t="s">
        <v>4875</v>
      </c>
      <c r="F884" s="8" t="s">
        <v>4868</v>
      </c>
      <c r="G884" s="6" t="s">
        <v>58</v>
      </c>
      <c r="H884" s="6" t="s">
        <v>38</v>
      </c>
      <c r="I884" s="8"/>
      <c r="J884" s="9">
        <v>1</v>
      </c>
      <c r="K884" s="9">
        <v>224</v>
      </c>
      <c r="L884" s="9">
        <v>2023</v>
      </c>
      <c r="M884" s="8" t="s">
        <v>4876</v>
      </c>
      <c r="N884" s="8" t="s">
        <v>40</v>
      </c>
      <c r="O884" s="8" t="s">
        <v>41</v>
      </c>
      <c r="P884" s="6" t="s">
        <v>4870</v>
      </c>
      <c r="Q884" s="8" t="s">
        <v>76</v>
      </c>
      <c r="R884" s="10" t="s">
        <v>314</v>
      </c>
      <c r="S884" s="11" t="s">
        <v>4871</v>
      </c>
      <c r="T884" s="6"/>
      <c r="U884" s="28" t="str">
        <f>HYPERLINK("https://media.infra-m.ru/2045/2045923/cover/2045923.jpg", "Обложка")</f>
        <v>Обложка</v>
      </c>
      <c r="V884" s="28" t="str">
        <f>HYPERLINK("https://znanium.ru/catalog/product/2045923", "Ознакомиться")</f>
        <v>Ознакомиться</v>
      </c>
      <c r="W884" s="8" t="s">
        <v>4872</v>
      </c>
      <c r="X884" s="6"/>
      <c r="Y884" s="6"/>
      <c r="Z884" s="6"/>
      <c r="AA884" s="6" t="s">
        <v>324</v>
      </c>
    </row>
    <row r="885" spans="1:27" s="4" customFormat="1" ht="51.95" customHeight="1">
      <c r="A885" s="5">
        <v>0</v>
      </c>
      <c r="B885" s="6" t="s">
        <v>4877</v>
      </c>
      <c r="C885" s="7">
        <v>2388</v>
      </c>
      <c r="D885" s="8" t="s">
        <v>4878</v>
      </c>
      <c r="E885" s="8" t="s">
        <v>4879</v>
      </c>
      <c r="F885" s="8" t="s">
        <v>918</v>
      </c>
      <c r="G885" s="6" t="s">
        <v>58</v>
      </c>
      <c r="H885" s="6" t="s">
        <v>52</v>
      </c>
      <c r="I885" s="8" t="s">
        <v>2209</v>
      </c>
      <c r="J885" s="9">
        <v>1</v>
      </c>
      <c r="K885" s="9">
        <v>435</v>
      </c>
      <c r="L885" s="9">
        <v>2023</v>
      </c>
      <c r="M885" s="8" t="s">
        <v>4880</v>
      </c>
      <c r="N885" s="8" t="s">
        <v>40</v>
      </c>
      <c r="O885" s="8" t="s">
        <v>41</v>
      </c>
      <c r="P885" s="6" t="s">
        <v>95</v>
      </c>
      <c r="Q885" s="8" t="s">
        <v>76</v>
      </c>
      <c r="R885" s="10" t="s">
        <v>4881</v>
      </c>
      <c r="S885" s="11"/>
      <c r="T885" s="6"/>
      <c r="U885" s="28" t="str">
        <f>HYPERLINK("https://media.infra-m.ru/1916/1916381/cover/1916381.jpg", "Обложка")</f>
        <v>Обложка</v>
      </c>
      <c r="V885" s="12"/>
      <c r="W885" s="8" t="s">
        <v>920</v>
      </c>
      <c r="X885" s="6"/>
      <c r="Y885" s="6"/>
      <c r="Z885" s="6"/>
      <c r="AA885" s="6" t="s">
        <v>353</v>
      </c>
    </row>
    <row r="886" spans="1:27" s="4" customFormat="1" ht="51.95" customHeight="1">
      <c r="A886" s="5">
        <v>0</v>
      </c>
      <c r="B886" s="6" t="s">
        <v>4882</v>
      </c>
      <c r="C886" s="7">
        <v>1877.9</v>
      </c>
      <c r="D886" s="8" t="s">
        <v>4883</v>
      </c>
      <c r="E886" s="8" t="s">
        <v>4884</v>
      </c>
      <c r="F886" s="8" t="s">
        <v>4885</v>
      </c>
      <c r="G886" s="6" t="s">
        <v>58</v>
      </c>
      <c r="H886" s="6" t="s">
        <v>52</v>
      </c>
      <c r="I886" s="8" t="s">
        <v>184</v>
      </c>
      <c r="J886" s="9">
        <v>1</v>
      </c>
      <c r="K886" s="9">
        <v>422</v>
      </c>
      <c r="L886" s="9">
        <v>2021</v>
      </c>
      <c r="M886" s="8" t="s">
        <v>4886</v>
      </c>
      <c r="N886" s="8" t="s">
        <v>40</v>
      </c>
      <c r="O886" s="8" t="s">
        <v>41</v>
      </c>
      <c r="P886" s="6" t="s">
        <v>95</v>
      </c>
      <c r="Q886" s="8" t="s">
        <v>76</v>
      </c>
      <c r="R886" s="10" t="s">
        <v>4887</v>
      </c>
      <c r="S886" s="11" t="s">
        <v>4888</v>
      </c>
      <c r="T886" s="6"/>
      <c r="U886" s="28" t="str">
        <f>HYPERLINK("https://media.infra-m.ru/1663/1663731/cover/1663731.jpg", "Обложка")</f>
        <v>Обложка</v>
      </c>
      <c r="V886" s="28" t="str">
        <f>HYPERLINK("https://znanium.ru/catalog/product/1939057", "Ознакомиться")</f>
        <v>Ознакомиться</v>
      </c>
      <c r="W886" s="8" t="s">
        <v>2421</v>
      </c>
      <c r="X886" s="6"/>
      <c r="Y886" s="6"/>
      <c r="Z886" s="6"/>
      <c r="AA886" s="6" t="s">
        <v>592</v>
      </c>
    </row>
    <row r="887" spans="1:27" s="4" customFormat="1" ht="51.95" customHeight="1">
      <c r="A887" s="5">
        <v>0</v>
      </c>
      <c r="B887" s="6" t="s">
        <v>4889</v>
      </c>
      <c r="C887" s="7">
        <v>2268</v>
      </c>
      <c r="D887" s="8" t="s">
        <v>4890</v>
      </c>
      <c r="E887" s="8" t="s">
        <v>4891</v>
      </c>
      <c r="F887" s="8" t="s">
        <v>4885</v>
      </c>
      <c r="G887" s="6" t="s">
        <v>37</v>
      </c>
      <c r="H887" s="6" t="s">
        <v>52</v>
      </c>
      <c r="I887" s="8" t="s">
        <v>184</v>
      </c>
      <c r="J887" s="9">
        <v>1</v>
      </c>
      <c r="K887" s="9">
        <v>421</v>
      </c>
      <c r="L887" s="9">
        <v>2023</v>
      </c>
      <c r="M887" s="8" t="s">
        <v>4892</v>
      </c>
      <c r="N887" s="8" t="s">
        <v>40</v>
      </c>
      <c r="O887" s="8" t="s">
        <v>41</v>
      </c>
      <c r="P887" s="6" t="s">
        <v>95</v>
      </c>
      <c r="Q887" s="8" t="s">
        <v>76</v>
      </c>
      <c r="R887" s="10" t="s">
        <v>4887</v>
      </c>
      <c r="S887" s="11" t="s">
        <v>4888</v>
      </c>
      <c r="T887" s="6"/>
      <c r="U887" s="28" t="str">
        <f>HYPERLINK("https://media.infra-m.ru/1939/1939057/cover/1939057.jpg", "Обложка")</f>
        <v>Обложка</v>
      </c>
      <c r="V887" s="28" t="str">
        <f>HYPERLINK("https://znanium.ru/catalog/product/1939057", "Ознакомиться")</f>
        <v>Ознакомиться</v>
      </c>
      <c r="W887" s="8" t="s">
        <v>2421</v>
      </c>
      <c r="X887" s="6"/>
      <c r="Y887" s="6"/>
      <c r="Z887" s="6"/>
      <c r="AA887" s="6" t="s">
        <v>678</v>
      </c>
    </row>
    <row r="888" spans="1:27" s="4" customFormat="1" ht="51.95" customHeight="1">
      <c r="A888" s="5">
        <v>0</v>
      </c>
      <c r="B888" s="6" t="s">
        <v>4893</v>
      </c>
      <c r="C888" s="7">
        <v>1956</v>
      </c>
      <c r="D888" s="8" t="s">
        <v>4894</v>
      </c>
      <c r="E888" s="8" t="s">
        <v>4879</v>
      </c>
      <c r="F888" s="8" t="s">
        <v>4895</v>
      </c>
      <c r="G888" s="6" t="s">
        <v>58</v>
      </c>
      <c r="H888" s="6" t="s">
        <v>84</v>
      </c>
      <c r="I888" s="8" t="s">
        <v>93</v>
      </c>
      <c r="J888" s="9">
        <v>1</v>
      </c>
      <c r="K888" s="9">
        <v>428</v>
      </c>
      <c r="L888" s="9">
        <v>2022</v>
      </c>
      <c r="M888" s="8" t="s">
        <v>4896</v>
      </c>
      <c r="N888" s="8" t="s">
        <v>40</v>
      </c>
      <c r="O888" s="8" t="s">
        <v>41</v>
      </c>
      <c r="P888" s="6" t="s">
        <v>95</v>
      </c>
      <c r="Q888" s="8" t="s">
        <v>96</v>
      </c>
      <c r="R888" s="10" t="s">
        <v>135</v>
      </c>
      <c r="S888" s="11" t="s">
        <v>4897</v>
      </c>
      <c r="T888" s="6"/>
      <c r="U888" s="28" t="str">
        <f>HYPERLINK("https://media.infra-m.ru/1816/1816810/cover/1816810.jpg", "Обложка")</f>
        <v>Обложка</v>
      </c>
      <c r="V888" s="28" t="str">
        <f>HYPERLINK("https://znanium.ru/catalog/product/1816810", "Ознакомиться")</f>
        <v>Ознакомиться</v>
      </c>
      <c r="W888" s="8" t="s">
        <v>3245</v>
      </c>
      <c r="X888" s="6"/>
      <c r="Y888" s="6"/>
      <c r="Z888" s="6" t="s">
        <v>136</v>
      </c>
      <c r="AA888" s="6" t="s">
        <v>353</v>
      </c>
    </row>
    <row r="889" spans="1:27" s="4" customFormat="1" ht="51.95" customHeight="1">
      <c r="A889" s="5">
        <v>0</v>
      </c>
      <c r="B889" s="6" t="s">
        <v>4898</v>
      </c>
      <c r="C889" s="7">
        <v>2316</v>
      </c>
      <c r="D889" s="8" t="s">
        <v>4899</v>
      </c>
      <c r="E889" s="8" t="s">
        <v>4879</v>
      </c>
      <c r="F889" s="8" t="s">
        <v>4895</v>
      </c>
      <c r="G889" s="6" t="s">
        <v>37</v>
      </c>
      <c r="H889" s="6" t="s">
        <v>84</v>
      </c>
      <c r="I889" s="8" t="s">
        <v>184</v>
      </c>
      <c r="J889" s="9">
        <v>1</v>
      </c>
      <c r="K889" s="9">
        <v>428</v>
      </c>
      <c r="L889" s="9">
        <v>2023</v>
      </c>
      <c r="M889" s="8" t="s">
        <v>4900</v>
      </c>
      <c r="N889" s="8" t="s">
        <v>40</v>
      </c>
      <c r="O889" s="8" t="s">
        <v>41</v>
      </c>
      <c r="P889" s="6" t="s">
        <v>95</v>
      </c>
      <c r="Q889" s="8" t="s">
        <v>76</v>
      </c>
      <c r="R889" s="10" t="s">
        <v>4901</v>
      </c>
      <c r="S889" s="11" t="s">
        <v>4902</v>
      </c>
      <c r="T889" s="6"/>
      <c r="U889" s="28" t="str">
        <f>HYPERLINK("https://media.infra-m.ru/1930/1930683/cover/1930683.jpg", "Обложка")</f>
        <v>Обложка</v>
      </c>
      <c r="V889" s="28" t="str">
        <f>HYPERLINK("https://znanium.ru/catalog/product/1930683", "Ознакомиться")</f>
        <v>Ознакомиться</v>
      </c>
      <c r="W889" s="8" t="s">
        <v>3245</v>
      </c>
      <c r="X889" s="6"/>
      <c r="Y889" s="6"/>
      <c r="Z889" s="6"/>
      <c r="AA889" s="6" t="s">
        <v>62</v>
      </c>
    </row>
    <row r="890" spans="1:27" s="4" customFormat="1" ht="51.95" customHeight="1">
      <c r="A890" s="5">
        <v>0</v>
      </c>
      <c r="B890" s="6" t="s">
        <v>4903</v>
      </c>
      <c r="C890" s="7">
        <v>2124</v>
      </c>
      <c r="D890" s="8" t="s">
        <v>4904</v>
      </c>
      <c r="E890" s="8" t="s">
        <v>4905</v>
      </c>
      <c r="F890" s="8" t="s">
        <v>4906</v>
      </c>
      <c r="G890" s="6" t="s">
        <v>37</v>
      </c>
      <c r="H890" s="6" t="s">
        <v>38</v>
      </c>
      <c r="I890" s="8"/>
      <c r="J890" s="9">
        <v>1</v>
      </c>
      <c r="K890" s="9">
        <v>384</v>
      </c>
      <c r="L890" s="9">
        <v>2024</v>
      </c>
      <c r="M890" s="8" t="s">
        <v>4907</v>
      </c>
      <c r="N890" s="8" t="s">
        <v>40</v>
      </c>
      <c r="O890" s="8" t="s">
        <v>41</v>
      </c>
      <c r="P890" s="6" t="s">
        <v>42</v>
      </c>
      <c r="Q890" s="8" t="s">
        <v>300</v>
      </c>
      <c r="R890" s="10" t="s">
        <v>4908</v>
      </c>
      <c r="S890" s="11"/>
      <c r="T890" s="6"/>
      <c r="U890" s="28" t="str">
        <f>HYPERLINK("https://media.infra-m.ru/2119/2119930/cover/2119930.jpg", "Обложка")</f>
        <v>Обложка</v>
      </c>
      <c r="V890" s="28" t="str">
        <f>HYPERLINK("https://znanium.ru/catalog/product/2119930", "Ознакомиться")</f>
        <v>Ознакомиться</v>
      </c>
      <c r="W890" s="8" t="s">
        <v>107</v>
      </c>
      <c r="X890" s="6"/>
      <c r="Y890" s="6"/>
      <c r="Z890" s="6"/>
      <c r="AA890" s="6" t="s">
        <v>424</v>
      </c>
    </row>
    <row r="891" spans="1:27" s="4" customFormat="1" ht="51.95" customHeight="1">
      <c r="A891" s="5">
        <v>0</v>
      </c>
      <c r="B891" s="6" t="s">
        <v>4909</v>
      </c>
      <c r="C891" s="7">
        <v>1200</v>
      </c>
      <c r="D891" s="8" t="s">
        <v>4910</v>
      </c>
      <c r="E891" s="8" t="s">
        <v>4911</v>
      </c>
      <c r="F891" s="8" t="s">
        <v>4912</v>
      </c>
      <c r="G891" s="6" t="s">
        <v>37</v>
      </c>
      <c r="H891" s="6" t="s">
        <v>52</v>
      </c>
      <c r="I891" s="8" t="s">
        <v>2209</v>
      </c>
      <c r="J891" s="9">
        <v>1</v>
      </c>
      <c r="K891" s="9">
        <v>221</v>
      </c>
      <c r="L891" s="9">
        <v>2022</v>
      </c>
      <c r="M891" s="8" t="s">
        <v>4913</v>
      </c>
      <c r="N891" s="8" t="s">
        <v>40</v>
      </c>
      <c r="O891" s="8" t="s">
        <v>41</v>
      </c>
      <c r="P891" s="6" t="s">
        <v>95</v>
      </c>
      <c r="Q891" s="8" t="s">
        <v>96</v>
      </c>
      <c r="R891" s="10" t="s">
        <v>4914</v>
      </c>
      <c r="S891" s="11" t="s">
        <v>193</v>
      </c>
      <c r="T891" s="6"/>
      <c r="U891" s="28" t="str">
        <f>HYPERLINK("https://media.infra-m.ru/1920/1920494/cover/1920494.jpg", "Обложка")</f>
        <v>Обложка</v>
      </c>
      <c r="V891" s="28" t="str">
        <f>HYPERLINK("https://znanium.ru/catalog/product/2085098", "Ознакомиться")</f>
        <v>Ознакомиться</v>
      </c>
      <c r="W891" s="8" t="s">
        <v>4915</v>
      </c>
      <c r="X891" s="6"/>
      <c r="Y891" s="6" t="s">
        <v>30</v>
      </c>
      <c r="Z891" s="6"/>
      <c r="AA891" s="6" t="s">
        <v>1255</v>
      </c>
    </row>
    <row r="892" spans="1:27" s="4" customFormat="1" ht="51.95" customHeight="1">
      <c r="A892" s="5">
        <v>0</v>
      </c>
      <c r="B892" s="6" t="s">
        <v>4916</v>
      </c>
      <c r="C892" s="7">
        <v>1320</v>
      </c>
      <c r="D892" s="8" t="s">
        <v>4917</v>
      </c>
      <c r="E892" s="8" t="s">
        <v>4918</v>
      </c>
      <c r="F892" s="8" t="s">
        <v>4912</v>
      </c>
      <c r="G892" s="6" t="s">
        <v>37</v>
      </c>
      <c r="H892" s="6" t="s">
        <v>52</v>
      </c>
      <c r="I892" s="8" t="s">
        <v>2209</v>
      </c>
      <c r="J892" s="9">
        <v>1</v>
      </c>
      <c r="K892" s="9">
        <v>212</v>
      </c>
      <c r="L892" s="9">
        <v>2024</v>
      </c>
      <c r="M892" s="8" t="s">
        <v>4919</v>
      </c>
      <c r="N892" s="8" t="s">
        <v>40</v>
      </c>
      <c r="O892" s="8" t="s">
        <v>41</v>
      </c>
      <c r="P892" s="6" t="s">
        <v>95</v>
      </c>
      <c r="Q892" s="8" t="s">
        <v>96</v>
      </c>
      <c r="R892" s="10" t="s">
        <v>4914</v>
      </c>
      <c r="S892" s="11" t="s">
        <v>193</v>
      </c>
      <c r="T892" s="6"/>
      <c r="U892" s="28" t="str">
        <f>HYPERLINK("https://media.infra-m.ru/2085/2085098/cover/2085098.jpg", "Обложка")</f>
        <v>Обложка</v>
      </c>
      <c r="V892" s="28" t="str">
        <f>HYPERLINK("https://znanium.ru/catalog/product/2085098", "Ознакомиться")</f>
        <v>Ознакомиться</v>
      </c>
      <c r="W892" s="8" t="s">
        <v>4915</v>
      </c>
      <c r="X892" s="6" t="s">
        <v>391</v>
      </c>
      <c r="Y892" s="6" t="s">
        <v>30</v>
      </c>
      <c r="Z892" s="6"/>
      <c r="AA892" s="6" t="s">
        <v>1759</v>
      </c>
    </row>
    <row r="893" spans="1:27" s="4" customFormat="1" ht="51.95" customHeight="1">
      <c r="A893" s="5">
        <v>0</v>
      </c>
      <c r="B893" s="6" t="s">
        <v>4920</v>
      </c>
      <c r="C893" s="7">
        <v>1068</v>
      </c>
      <c r="D893" s="8" t="s">
        <v>4921</v>
      </c>
      <c r="E893" s="8" t="s">
        <v>4922</v>
      </c>
      <c r="F893" s="8" t="s">
        <v>4923</v>
      </c>
      <c r="G893" s="6" t="s">
        <v>58</v>
      </c>
      <c r="H893" s="6" t="s">
        <v>84</v>
      </c>
      <c r="I893" s="8" t="s">
        <v>250</v>
      </c>
      <c r="J893" s="9">
        <v>1</v>
      </c>
      <c r="K893" s="9">
        <v>180</v>
      </c>
      <c r="L893" s="9">
        <v>2023</v>
      </c>
      <c r="M893" s="8" t="s">
        <v>4924</v>
      </c>
      <c r="N893" s="8" t="s">
        <v>40</v>
      </c>
      <c r="O893" s="8" t="s">
        <v>41</v>
      </c>
      <c r="P893" s="6" t="s">
        <v>42</v>
      </c>
      <c r="Q893" s="8" t="s">
        <v>43</v>
      </c>
      <c r="R893" s="10" t="s">
        <v>4925</v>
      </c>
      <c r="S893" s="11"/>
      <c r="T893" s="6"/>
      <c r="U893" s="28" t="str">
        <f>HYPERLINK("https://media.infra-m.ru/1911/1911711/cover/1911711.jpg", "Обложка")</f>
        <v>Обложка</v>
      </c>
      <c r="V893" s="28" t="str">
        <f>HYPERLINK("https://znanium.ru/catalog/product/1911711", "Ознакомиться")</f>
        <v>Ознакомиться</v>
      </c>
      <c r="W893" s="8" t="s">
        <v>4650</v>
      </c>
      <c r="X893" s="6"/>
      <c r="Y893" s="6"/>
      <c r="Z893" s="6"/>
      <c r="AA893" s="6" t="s">
        <v>417</v>
      </c>
    </row>
    <row r="894" spans="1:27" s="4" customFormat="1" ht="51.95" customHeight="1">
      <c r="A894" s="5">
        <v>0</v>
      </c>
      <c r="B894" s="6" t="s">
        <v>4926</v>
      </c>
      <c r="C894" s="7">
        <v>1440</v>
      </c>
      <c r="D894" s="8" t="s">
        <v>4927</v>
      </c>
      <c r="E894" s="8" t="s">
        <v>4928</v>
      </c>
      <c r="F894" s="8" t="s">
        <v>4929</v>
      </c>
      <c r="G894" s="6" t="s">
        <v>37</v>
      </c>
      <c r="H894" s="6" t="s">
        <v>84</v>
      </c>
      <c r="I894" s="8" t="s">
        <v>320</v>
      </c>
      <c r="J894" s="9">
        <v>1</v>
      </c>
      <c r="K894" s="9">
        <v>268</v>
      </c>
      <c r="L894" s="9">
        <v>2022</v>
      </c>
      <c r="M894" s="8" t="s">
        <v>4930</v>
      </c>
      <c r="N894" s="8" t="s">
        <v>40</v>
      </c>
      <c r="O894" s="8" t="s">
        <v>41</v>
      </c>
      <c r="P894" s="6" t="s">
        <v>75</v>
      </c>
      <c r="Q894" s="8" t="s">
        <v>157</v>
      </c>
      <c r="R894" s="10" t="s">
        <v>4931</v>
      </c>
      <c r="S894" s="11" t="s">
        <v>4932</v>
      </c>
      <c r="T894" s="6" t="s">
        <v>378</v>
      </c>
      <c r="U894" s="28" t="str">
        <f>HYPERLINK("https://media.infra-m.ru/1862/1862393/cover/1862393.jpg", "Обложка")</f>
        <v>Обложка</v>
      </c>
      <c r="V894" s="28" t="str">
        <f>HYPERLINK("https://znanium.ru/catalog/product/1862393", "Ознакомиться")</f>
        <v>Ознакомиться</v>
      </c>
      <c r="W894" s="8" t="s">
        <v>489</v>
      </c>
      <c r="X894" s="6"/>
      <c r="Y894" s="6"/>
      <c r="Z894" s="6"/>
      <c r="AA894" s="6" t="s">
        <v>302</v>
      </c>
    </row>
    <row r="895" spans="1:27" s="4" customFormat="1" ht="51.95" customHeight="1">
      <c r="A895" s="5">
        <v>0</v>
      </c>
      <c r="B895" s="6" t="s">
        <v>4933</v>
      </c>
      <c r="C895" s="7">
        <v>1049.9000000000001</v>
      </c>
      <c r="D895" s="8" t="s">
        <v>4934</v>
      </c>
      <c r="E895" s="8" t="s">
        <v>4935</v>
      </c>
      <c r="F895" s="8" t="s">
        <v>1600</v>
      </c>
      <c r="G895" s="6" t="s">
        <v>37</v>
      </c>
      <c r="H895" s="6" t="s">
        <v>84</v>
      </c>
      <c r="I895" s="8" t="s">
        <v>120</v>
      </c>
      <c r="J895" s="9">
        <v>1</v>
      </c>
      <c r="K895" s="9">
        <v>187</v>
      </c>
      <c r="L895" s="9">
        <v>2022</v>
      </c>
      <c r="M895" s="8" t="s">
        <v>4936</v>
      </c>
      <c r="N895" s="8" t="s">
        <v>40</v>
      </c>
      <c r="O895" s="8" t="s">
        <v>41</v>
      </c>
      <c r="P895" s="6" t="s">
        <v>75</v>
      </c>
      <c r="Q895" s="8" t="s">
        <v>515</v>
      </c>
      <c r="R895" s="10" t="s">
        <v>4937</v>
      </c>
      <c r="S895" s="11" t="s">
        <v>4938</v>
      </c>
      <c r="T895" s="6"/>
      <c r="U895" s="28" t="str">
        <f>HYPERLINK("https://media.infra-m.ru/2048/2048897/cover/2048897.jpg", "Обложка")</f>
        <v>Обложка</v>
      </c>
      <c r="V895" s="28" t="str">
        <f>HYPERLINK("https://znanium.ru/catalog/product/2038342", "Ознакомиться")</f>
        <v>Ознакомиться</v>
      </c>
      <c r="W895" s="8" t="s">
        <v>1603</v>
      </c>
      <c r="X895" s="6"/>
      <c r="Y895" s="6"/>
      <c r="Z895" s="6"/>
      <c r="AA895" s="6" t="s">
        <v>353</v>
      </c>
    </row>
    <row r="896" spans="1:27" s="4" customFormat="1" ht="51.95" customHeight="1">
      <c r="A896" s="5">
        <v>0</v>
      </c>
      <c r="B896" s="6" t="s">
        <v>4939</v>
      </c>
      <c r="C896" s="7">
        <v>1032</v>
      </c>
      <c r="D896" s="8" t="s">
        <v>4940</v>
      </c>
      <c r="E896" s="8" t="s">
        <v>4941</v>
      </c>
      <c r="F896" s="8" t="s">
        <v>3632</v>
      </c>
      <c r="G896" s="6" t="s">
        <v>37</v>
      </c>
      <c r="H896" s="6" t="s">
        <v>38</v>
      </c>
      <c r="I896" s="8"/>
      <c r="J896" s="9">
        <v>1</v>
      </c>
      <c r="K896" s="9">
        <v>192</v>
      </c>
      <c r="L896" s="9">
        <v>2023</v>
      </c>
      <c r="M896" s="8" t="s">
        <v>4942</v>
      </c>
      <c r="N896" s="8" t="s">
        <v>40</v>
      </c>
      <c r="O896" s="8" t="s">
        <v>41</v>
      </c>
      <c r="P896" s="6" t="s">
        <v>75</v>
      </c>
      <c r="Q896" s="8" t="s">
        <v>157</v>
      </c>
      <c r="R896" s="10" t="s">
        <v>4943</v>
      </c>
      <c r="S896" s="11"/>
      <c r="T896" s="6"/>
      <c r="U896" s="28" t="str">
        <f>HYPERLINK("https://media.infra-m.ru/1898/1898962/cover/1898962.jpg", "Обложка")</f>
        <v>Обложка</v>
      </c>
      <c r="V896" s="28" t="str">
        <f>HYPERLINK("https://znanium.ru/catalog/product/1898962", "Ознакомиться")</f>
        <v>Ознакомиться</v>
      </c>
      <c r="W896" s="8" t="s">
        <v>114</v>
      </c>
      <c r="X896" s="6"/>
      <c r="Y896" s="6"/>
      <c r="Z896" s="6"/>
      <c r="AA896" s="6" t="s">
        <v>46</v>
      </c>
    </row>
    <row r="897" spans="1:27" s="4" customFormat="1" ht="51.95" customHeight="1">
      <c r="A897" s="5">
        <v>0</v>
      </c>
      <c r="B897" s="6" t="s">
        <v>4944</v>
      </c>
      <c r="C897" s="7">
        <v>1133.9000000000001</v>
      </c>
      <c r="D897" s="8" t="s">
        <v>4945</v>
      </c>
      <c r="E897" s="8" t="s">
        <v>4946</v>
      </c>
      <c r="F897" s="8" t="s">
        <v>4947</v>
      </c>
      <c r="G897" s="6" t="s">
        <v>51</v>
      </c>
      <c r="H897" s="6" t="s">
        <v>84</v>
      </c>
      <c r="I897" s="8" t="s">
        <v>250</v>
      </c>
      <c r="J897" s="9">
        <v>1</v>
      </c>
      <c r="K897" s="9">
        <v>209</v>
      </c>
      <c r="L897" s="9">
        <v>2023</v>
      </c>
      <c r="M897" s="8" t="s">
        <v>4948</v>
      </c>
      <c r="N897" s="8" t="s">
        <v>40</v>
      </c>
      <c r="O897" s="8" t="s">
        <v>41</v>
      </c>
      <c r="P897" s="6" t="s">
        <v>42</v>
      </c>
      <c r="Q897" s="8" t="s">
        <v>43</v>
      </c>
      <c r="R897" s="10" t="s">
        <v>4949</v>
      </c>
      <c r="S897" s="11"/>
      <c r="T897" s="6"/>
      <c r="U897" s="28" t="str">
        <f>HYPERLINK("https://media.infra-m.ru/2044/2044346/cover/2044346.jpg", "Обложка")</f>
        <v>Обложка</v>
      </c>
      <c r="V897" s="28" t="str">
        <f>HYPERLINK("https://znanium.ru/catalog/product/982626", "Ознакомиться")</f>
        <v>Ознакомиться</v>
      </c>
      <c r="W897" s="8" t="s">
        <v>691</v>
      </c>
      <c r="X897" s="6"/>
      <c r="Y897" s="6"/>
      <c r="Z897" s="6"/>
      <c r="AA897" s="6" t="s">
        <v>424</v>
      </c>
    </row>
    <row r="898" spans="1:27" s="4" customFormat="1" ht="51.95" customHeight="1">
      <c r="A898" s="5">
        <v>0</v>
      </c>
      <c r="B898" s="6" t="s">
        <v>4950</v>
      </c>
      <c r="C898" s="7">
        <v>2056.8000000000002</v>
      </c>
      <c r="D898" s="8" t="s">
        <v>4951</v>
      </c>
      <c r="E898" s="8" t="s">
        <v>4952</v>
      </c>
      <c r="F898" s="8" t="s">
        <v>4953</v>
      </c>
      <c r="G898" s="6" t="s">
        <v>37</v>
      </c>
      <c r="H898" s="6" t="s">
        <v>191</v>
      </c>
      <c r="I898" s="8" t="s">
        <v>93</v>
      </c>
      <c r="J898" s="9">
        <v>1</v>
      </c>
      <c r="K898" s="9">
        <v>364</v>
      </c>
      <c r="L898" s="9">
        <v>2024</v>
      </c>
      <c r="M898" s="8" t="s">
        <v>4954</v>
      </c>
      <c r="N898" s="8" t="s">
        <v>40</v>
      </c>
      <c r="O898" s="8" t="s">
        <v>41</v>
      </c>
      <c r="P898" s="6" t="s">
        <v>95</v>
      </c>
      <c r="Q898" s="8" t="s">
        <v>96</v>
      </c>
      <c r="R898" s="10" t="s">
        <v>4955</v>
      </c>
      <c r="S898" s="11" t="s">
        <v>4956</v>
      </c>
      <c r="T898" s="6"/>
      <c r="U898" s="28" t="str">
        <f>HYPERLINK("https://media.infra-m.ru/2145/2145079/cover/2145079.jpg", "Обложка")</f>
        <v>Обложка</v>
      </c>
      <c r="V898" s="28" t="str">
        <f>HYPERLINK("https://znanium.ru/catalog/product/1865357", "Ознакомиться")</f>
        <v>Ознакомиться</v>
      </c>
      <c r="W898" s="8" t="s">
        <v>423</v>
      </c>
      <c r="X898" s="6"/>
      <c r="Y898" s="6" t="s">
        <v>30</v>
      </c>
      <c r="Z898" s="6"/>
      <c r="AA898" s="6" t="s">
        <v>769</v>
      </c>
    </row>
    <row r="899" spans="1:27" s="4" customFormat="1" ht="42" customHeight="1">
      <c r="A899" s="5">
        <v>0</v>
      </c>
      <c r="B899" s="6" t="s">
        <v>4957</v>
      </c>
      <c r="C899" s="13">
        <v>803.9</v>
      </c>
      <c r="D899" s="8" t="s">
        <v>4958</v>
      </c>
      <c r="E899" s="8" t="s">
        <v>4959</v>
      </c>
      <c r="F899" s="8" t="s">
        <v>918</v>
      </c>
      <c r="G899" s="6" t="s">
        <v>58</v>
      </c>
      <c r="H899" s="6" t="s">
        <v>52</v>
      </c>
      <c r="I899" s="8" t="s">
        <v>2209</v>
      </c>
      <c r="J899" s="9">
        <v>1</v>
      </c>
      <c r="K899" s="9">
        <v>177</v>
      </c>
      <c r="L899" s="9">
        <v>2021</v>
      </c>
      <c r="M899" s="8" t="s">
        <v>4960</v>
      </c>
      <c r="N899" s="8" t="s">
        <v>40</v>
      </c>
      <c r="O899" s="8" t="s">
        <v>41</v>
      </c>
      <c r="P899" s="6" t="s">
        <v>95</v>
      </c>
      <c r="Q899" s="8" t="s">
        <v>96</v>
      </c>
      <c r="R899" s="10" t="s">
        <v>4233</v>
      </c>
      <c r="S899" s="11"/>
      <c r="T899" s="6"/>
      <c r="U899" s="28" t="str">
        <f>HYPERLINK("https://media.infra-m.ru/1461/1461283/cover/1461283.jpg", "Обложка")</f>
        <v>Обложка</v>
      </c>
      <c r="V899" s="28" t="str">
        <f>HYPERLINK("https://znanium.ru/catalog/product/1461283", "Ознакомиться")</f>
        <v>Ознакомиться</v>
      </c>
      <c r="W899" s="8" t="s">
        <v>920</v>
      </c>
      <c r="X899" s="6"/>
      <c r="Y899" s="6"/>
      <c r="Z899" s="6" t="s">
        <v>136</v>
      </c>
      <c r="AA899" s="6" t="s">
        <v>62</v>
      </c>
    </row>
    <row r="900" spans="1:27" s="4" customFormat="1" ht="42" customHeight="1">
      <c r="A900" s="5">
        <v>0</v>
      </c>
      <c r="B900" s="6" t="s">
        <v>4961</v>
      </c>
      <c r="C900" s="7">
        <v>1680</v>
      </c>
      <c r="D900" s="8" t="s">
        <v>4962</v>
      </c>
      <c r="E900" s="8" t="s">
        <v>4959</v>
      </c>
      <c r="F900" s="8" t="s">
        <v>918</v>
      </c>
      <c r="G900" s="6" t="s">
        <v>37</v>
      </c>
      <c r="H900" s="6" t="s">
        <v>52</v>
      </c>
      <c r="I900" s="8" t="s">
        <v>120</v>
      </c>
      <c r="J900" s="9">
        <v>1</v>
      </c>
      <c r="K900" s="9">
        <v>311</v>
      </c>
      <c r="L900" s="9">
        <v>2023</v>
      </c>
      <c r="M900" s="8" t="s">
        <v>4963</v>
      </c>
      <c r="N900" s="8" t="s">
        <v>40</v>
      </c>
      <c r="O900" s="8" t="s">
        <v>41</v>
      </c>
      <c r="P900" s="6" t="s">
        <v>95</v>
      </c>
      <c r="Q900" s="8" t="s">
        <v>76</v>
      </c>
      <c r="R900" s="10" t="s">
        <v>4964</v>
      </c>
      <c r="S900" s="11"/>
      <c r="T900" s="6"/>
      <c r="U900" s="28" t="str">
        <f>HYPERLINK("https://media.infra-m.ru/1916/1916398/cover/1916398.jpg", "Обложка")</f>
        <v>Обложка</v>
      </c>
      <c r="V900" s="28" t="str">
        <f>HYPERLINK("https://znanium.ru/catalog/product/1916398", "Ознакомиться")</f>
        <v>Ознакомиться</v>
      </c>
      <c r="W900" s="8" t="s">
        <v>920</v>
      </c>
      <c r="X900" s="6"/>
      <c r="Y900" s="6" t="s">
        <v>30</v>
      </c>
      <c r="Z900" s="6"/>
      <c r="AA900" s="6" t="s">
        <v>62</v>
      </c>
    </row>
    <row r="901" spans="1:27" s="4" customFormat="1" ht="44.1" customHeight="1">
      <c r="A901" s="5">
        <v>0</v>
      </c>
      <c r="B901" s="6" t="s">
        <v>4965</v>
      </c>
      <c r="C901" s="13">
        <v>712.8</v>
      </c>
      <c r="D901" s="8" t="s">
        <v>4966</v>
      </c>
      <c r="E901" s="8" t="s">
        <v>4967</v>
      </c>
      <c r="F901" s="8" t="s">
        <v>4968</v>
      </c>
      <c r="G901" s="6" t="s">
        <v>51</v>
      </c>
      <c r="H901" s="6" t="s">
        <v>278</v>
      </c>
      <c r="I901" s="8" t="s">
        <v>2209</v>
      </c>
      <c r="J901" s="9">
        <v>1</v>
      </c>
      <c r="K901" s="9">
        <v>128</v>
      </c>
      <c r="L901" s="9">
        <v>2024</v>
      </c>
      <c r="M901" s="8" t="s">
        <v>4969</v>
      </c>
      <c r="N901" s="8" t="s">
        <v>40</v>
      </c>
      <c r="O901" s="8" t="s">
        <v>41</v>
      </c>
      <c r="P901" s="6" t="s">
        <v>4970</v>
      </c>
      <c r="Q901" s="8" t="s">
        <v>96</v>
      </c>
      <c r="R901" s="10" t="s">
        <v>4971</v>
      </c>
      <c r="S901" s="11"/>
      <c r="T901" s="6"/>
      <c r="U901" s="28" t="str">
        <f>HYPERLINK("https://media.infra-m.ru/2056/2056804/cover/2056804.jpg", "Обложка")</f>
        <v>Обложка</v>
      </c>
      <c r="V901" s="28" t="str">
        <f>HYPERLINK("https://znanium.ru/catalog/product/1834716", "Ознакомиться")</f>
        <v>Ознакомиться</v>
      </c>
      <c r="W901" s="8" t="s">
        <v>4972</v>
      </c>
      <c r="X901" s="6"/>
      <c r="Y901" s="6" t="s">
        <v>30</v>
      </c>
      <c r="Z901" s="6"/>
      <c r="AA901" s="6" t="s">
        <v>849</v>
      </c>
    </row>
    <row r="902" spans="1:27" s="4" customFormat="1" ht="44.1" customHeight="1">
      <c r="A902" s="5">
        <v>0</v>
      </c>
      <c r="B902" s="6" t="s">
        <v>4973</v>
      </c>
      <c r="C902" s="13">
        <v>545.9</v>
      </c>
      <c r="D902" s="8" t="s">
        <v>4974</v>
      </c>
      <c r="E902" s="8" t="s">
        <v>4952</v>
      </c>
      <c r="F902" s="8" t="s">
        <v>4975</v>
      </c>
      <c r="G902" s="6" t="s">
        <v>51</v>
      </c>
      <c r="H902" s="6" t="s">
        <v>52</v>
      </c>
      <c r="I902" s="8" t="s">
        <v>2209</v>
      </c>
      <c r="J902" s="9">
        <v>1</v>
      </c>
      <c r="K902" s="9">
        <v>203</v>
      </c>
      <c r="L902" s="9">
        <v>2020</v>
      </c>
      <c r="M902" s="8" t="s">
        <v>4976</v>
      </c>
      <c r="N902" s="8" t="s">
        <v>40</v>
      </c>
      <c r="O902" s="8" t="s">
        <v>41</v>
      </c>
      <c r="P902" s="6" t="s">
        <v>75</v>
      </c>
      <c r="Q902" s="8" t="s">
        <v>96</v>
      </c>
      <c r="R902" s="10" t="s">
        <v>4977</v>
      </c>
      <c r="S902" s="11"/>
      <c r="T902" s="6"/>
      <c r="U902" s="28" t="str">
        <f>HYPERLINK("https://media.infra-m.ru/1015/1015080/cover/1015080.jpg", "Обложка")</f>
        <v>Обложка</v>
      </c>
      <c r="V902" s="28" t="str">
        <f>HYPERLINK("https://znanium.ru/catalog/product/1015080", "Ознакомиться")</f>
        <v>Ознакомиться</v>
      </c>
      <c r="W902" s="8" t="s">
        <v>4915</v>
      </c>
      <c r="X902" s="6"/>
      <c r="Y902" s="6" t="s">
        <v>30</v>
      </c>
      <c r="Z902" s="6"/>
      <c r="AA902" s="6" t="s">
        <v>214</v>
      </c>
    </row>
    <row r="903" spans="1:27" s="4" customFormat="1" ht="51.95" customHeight="1">
      <c r="A903" s="5">
        <v>0</v>
      </c>
      <c r="B903" s="6" t="s">
        <v>4978</v>
      </c>
      <c r="C903" s="7">
        <v>1356</v>
      </c>
      <c r="D903" s="8" t="s">
        <v>4979</v>
      </c>
      <c r="E903" s="8" t="s">
        <v>4959</v>
      </c>
      <c r="F903" s="8" t="s">
        <v>4980</v>
      </c>
      <c r="G903" s="6" t="s">
        <v>37</v>
      </c>
      <c r="H903" s="6" t="s">
        <v>191</v>
      </c>
      <c r="I903" s="8" t="s">
        <v>93</v>
      </c>
      <c r="J903" s="9">
        <v>1</v>
      </c>
      <c r="K903" s="9">
        <v>333</v>
      </c>
      <c r="L903" s="9">
        <v>2019</v>
      </c>
      <c r="M903" s="8" t="s">
        <v>4981</v>
      </c>
      <c r="N903" s="8" t="s">
        <v>40</v>
      </c>
      <c r="O903" s="8" t="s">
        <v>41</v>
      </c>
      <c r="P903" s="6" t="s">
        <v>95</v>
      </c>
      <c r="Q903" s="8" t="s">
        <v>96</v>
      </c>
      <c r="R903" s="10" t="s">
        <v>4955</v>
      </c>
      <c r="S903" s="11" t="s">
        <v>4982</v>
      </c>
      <c r="T903" s="6"/>
      <c r="U903" s="28" t="str">
        <f>HYPERLINK("https://media.infra-m.ru/1003/1003313/cover/1003313.jpg", "Обложка")</f>
        <v>Обложка</v>
      </c>
      <c r="V903" s="28" t="str">
        <f>HYPERLINK("https://znanium.ru/catalog/product/1865357", "Ознакомиться")</f>
        <v>Ознакомиться</v>
      </c>
      <c r="W903" s="8" t="s">
        <v>423</v>
      </c>
      <c r="X903" s="6"/>
      <c r="Y903" s="6" t="s">
        <v>30</v>
      </c>
      <c r="Z903" s="6"/>
      <c r="AA903" s="6" t="s">
        <v>750</v>
      </c>
    </row>
    <row r="904" spans="1:27" s="4" customFormat="1" ht="51.95" customHeight="1">
      <c r="A904" s="5">
        <v>0</v>
      </c>
      <c r="B904" s="6" t="s">
        <v>4983</v>
      </c>
      <c r="C904" s="7">
        <v>1312.8</v>
      </c>
      <c r="D904" s="8" t="s">
        <v>4984</v>
      </c>
      <c r="E904" s="8" t="s">
        <v>4959</v>
      </c>
      <c r="F904" s="8" t="s">
        <v>4985</v>
      </c>
      <c r="G904" s="6" t="s">
        <v>37</v>
      </c>
      <c r="H904" s="6" t="s">
        <v>191</v>
      </c>
      <c r="I904" s="8" t="s">
        <v>93</v>
      </c>
      <c r="J904" s="9">
        <v>1</v>
      </c>
      <c r="K904" s="9">
        <v>239</v>
      </c>
      <c r="L904" s="9">
        <v>2024</v>
      </c>
      <c r="M904" s="8" t="s">
        <v>4986</v>
      </c>
      <c r="N904" s="8" t="s">
        <v>40</v>
      </c>
      <c r="O904" s="8" t="s">
        <v>41</v>
      </c>
      <c r="P904" s="6" t="s">
        <v>95</v>
      </c>
      <c r="Q904" s="8" t="s">
        <v>96</v>
      </c>
      <c r="R904" s="10" t="s">
        <v>4987</v>
      </c>
      <c r="S904" s="11" t="s">
        <v>4988</v>
      </c>
      <c r="T904" s="6"/>
      <c r="U904" s="28" t="str">
        <f>HYPERLINK("https://media.infra-m.ru/2122/2122499/cover/2122499.jpg", "Обложка")</f>
        <v>Обложка</v>
      </c>
      <c r="V904" s="28" t="str">
        <f>HYPERLINK("https://znanium.ru/catalog/product/1225693", "Ознакомиться")</f>
        <v>Ознакомиться</v>
      </c>
      <c r="W904" s="8" t="s">
        <v>4440</v>
      </c>
      <c r="X904" s="6"/>
      <c r="Y904" s="6" t="s">
        <v>30</v>
      </c>
      <c r="Z904" s="6"/>
      <c r="AA904" s="6" t="s">
        <v>424</v>
      </c>
    </row>
    <row r="905" spans="1:27" s="4" customFormat="1" ht="51.95" customHeight="1">
      <c r="A905" s="5">
        <v>0</v>
      </c>
      <c r="B905" s="6" t="s">
        <v>4989</v>
      </c>
      <c r="C905" s="7">
        <v>1548</v>
      </c>
      <c r="D905" s="8" t="s">
        <v>4990</v>
      </c>
      <c r="E905" s="8" t="s">
        <v>4991</v>
      </c>
      <c r="F905" s="8" t="s">
        <v>2195</v>
      </c>
      <c r="G905" s="6" t="s">
        <v>37</v>
      </c>
      <c r="H905" s="6" t="s">
        <v>84</v>
      </c>
      <c r="I905" s="8" t="s">
        <v>184</v>
      </c>
      <c r="J905" s="9">
        <v>1</v>
      </c>
      <c r="K905" s="9">
        <v>289</v>
      </c>
      <c r="L905" s="9">
        <v>2023</v>
      </c>
      <c r="M905" s="8" t="s">
        <v>4992</v>
      </c>
      <c r="N905" s="8" t="s">
        <v>40</v>
      </c>
      <c r="O905" s="8" t="s">
        <v>41</v>
      </c>
      <c r="P905" s="6" t="s">
        <v>95</v>
      </c>
      <c r="Q905" s="8" t="s">
        <v>76</v>
      </c>
      <c r="R905" s="10" t="s">
        <v>4993</v>
      </c>
      <c r="S905" s="11" t="s">
        <v>4994</v>
      </c>
      <c r="T905" s="6" t="s">
        <v>378</v>
      </c>
      <c r="U905" s="28" t="str">
        <f>HYPERLINK("https://media.infra-m.ru/1861/1861158/cover/1861158.jpg", "Обложка")</f>
        <v>Обложка</v>
      </c>
      <c r="V905" s="28" t="str">
        <f>HYPERLINK("https://znanium.ru/catalog/product/1861158", "Ознакомиться")</f>
        <v>Ознакомиться</v>
      </c>
      <c r="W905" s="8" t="s">
        <v>194</v>
      </c>
      <c r="X905" s="6"/>
      <c r="Y905" s="6"/>
      <c r="Z905" s="6"/>
      <c r="AA905" s="6" t="s">
        <v>88</v>
      </c>
    </row>
    <row r="906" spans="1:27" s="4" customFormat="1" ht="51.95" customHeight="1">
      <c r="A906" s="5">
        <v>0</v>
      </c>
      <c r="B906" s="6" t="s">
        <v>4995</v>
      </c>
      <c r="C906" s="7">
        <v>1464</v>
      </c>
      <c r="D906" s="8" t="s">
        <v>4996</v>
      </c>
      <c r="E906" s="8" t="s">
        <v>4991</v>
      </c>
      <c r="F906" s="8" t="s">
        <v>2195</v>
      </c>
      <c r="G906" s="6" t="s">
        <v>37</v>
      </c>
      <c r="H906" s="6" t="s">
        <v>84</v>
      </c>
      <c r="I906" s="8" t="s">
        <v>93</v>
      </c>
      <c r="J906" s="9">
        <v>1</v>
      </c>
      <c r="K906" s="9">
        <v>289</v>
      </c>
      <c r="L906" s="9">
        <v>2022</v>
      </c>
      <c r="M906" s="8" t="s">
        <v>4997</v>
      </c>
      <c r="N906" s="8" t="s">
        <v>40</v>
      </c>
      <c r="O906" s="8" t="s">
        <v>41</v>
      </c>
      <c r="P906" s="6" t="s">
        <v>95</v>
      </c>
      <c r="Q906" s="8" t="s">
        <v>96</v>
      </c>
      <c r="R906" s="10" t="s">
        <v>4998</v>
      </c>
      <c r="S906" s="11" t="s">
        <v>4999</v>
      </c>
      <c r="T906" s="6" t="s">
        <v>378</v>
      </c>
      <c r="U906" s="28" t="str">
        <f>HYPERLINK("https://media.infra-m.ru/1872/1872294/cover/1872294.jpg", "Обложка")</f>
        <v>Обложка</v>
      </c>
      <c r="V906" s="12"/>
      <c r="W906" s="8" t="s">
        <v>194</v>
      </c>
      <c r="X906" s="6"/>
      <c r="Y906" s="6"/>
      <c r="Z906" s="6" t="s">
        <v>136</v>
      </c>
      <c r="AA906" s="6" t="s">
        <v>353</v>
      </c>
    </row>
    <row r="907" spans="1:27" s="4" customFormat="1" ht="51.95" customHeight="1">
      <c r="A907" s="5">
        <v>0</v>
      </c>
      <c r="B907" s="6" t="s">
        <v>5000</v>
      </c>
      <c r="C907" s="7">
        <v>1308</v>
      </c>
      <c r="D907" s="8" t="s">
        <v>5001</v>
      </c>
      <c r="E907" s="8" t="s">
        <v>5002</v>
      </c>
      <c r="F907" s="8" t="s">
        <v>5003</v>
      </c>
      <c r="G907" s="6" t="s">
        <v>37</v>
      </c>
      <c r="H907" s="6" t="s">
        <v>84</v>
      </c>
      <c r="I907" s="8" t="s">
        <v>250</v>
      </c>
      <c r="J907" s="9">
        <v>1</v>
      </c>
      <c r="K907" s="9">
        <v>280</v>
      </c>
      <c r="L907" s="9">
        <v>2022</v>
      </c>
      <c r="M907" s="8" t="s">
        <v>5004</v>
      </c>
      <c r="N907" s="8" t="s">
        <v>40</v>
      </c>
      <c r="O907" s="8" t="s">
        <v>41</v>
      </c>
      <c r="P907" s="6" t="s">
        <v>42</v>
      </c>
      <c r="Q907" s="8" t="s">
        <v>43</v>
      </c>
      <c r="R907" s="10" t="s">
        <v>5005</v>
      </c>
      <c r="S907" s="11"/>
      <c r="T907" s="6"/>
      <c r="U907" s="28" t="str">
        <f>HYPERLINK("https://media.infra-m.ru/1860/1860853/cover/1860853.jpg", "Обложка")</f>
        <v>Обложка</v>
      </c>
      <c r="V907" s="28" t="str">
        <f>HYPERLINK("https://znanium.ru/catalog/product/1860853", "Ознакомиться")</f>
        <v>Ознакомиться</v>
      </c>
      <c r="W907" s="8" t="s">
        <v>399</v>
      </c>
      <c r="X907" s="6"/>
      <c r="Y907" s="6"/>
      <c r="Z907" s="6"/>
      <c r="AA907" s="6" t="s">
        <v>79</v>
      </c>
    </row>
    <row r="908" spans="1:27" s="4" customFormat="1" ht="42" customHeight="1">
      <c r="A908" s="5">
        <v>0</v>
      </c>
      <c r="B908" s="6" t="s">
        <v>5006</v>
      </c>
      <c r="C908" s="7">
        <v>1104</v>
      </c>
      <c r="D908" s="8" t="s">
        <v>5007</v>
      </c>
      <c r="E908" s="8" t="s">
        <v>5008</v>
      </c>
      <c r="F908" s="8" t="s">
        <v>5009</v>
      </c>
      <c r="G908" s="6" t="s">
        <v>37</v>
      </c>
      <c r="H908" s="6" t="s">
        <v>84</v>
      </c>
      <c r="I908" s="8" t="s">
        <v>85</v>
      </c>
      <c r="J908" s="9">
        <v>1</v>
      </c>
      <c r="K908" s="9">
        <v>240</v>
      </c>
      <c r="L908" s="9">
        <v>2021</v>
      </c>
      <c r="M908" s="8" t="s">
        <v>5010</v>
      </c>
      <c r="N908" s="8" t="s">
        <v>40</v>
      </c>
      <c r="O908" s="8" t="s">
        <v>41</v>
      </c>
      <c r="P908" s="6" t="s">
        <v>42</v>
      </c>
      <c r="Q908" s="8" t="s">
        <v>43</v>
      </c>
      <c r="R908" s="10" t="s">
        <v>308</v>
      </c>
      <c r="S908" s="11"/>
      <c r="T908" s="6"/>
      <c r="U908" s="28" t="str">
        <f>HYPERLINK("https://media.infra-m.ru/1362/1362124/cover/1362124.jpg", "Обложка")</f>
        <v>Обложка</v>
      </c>
      <c r="V908" s="28" t="str">
        <f>HYPERLINK("https://znanium.ru/catalog/product/1362124", "Ознакомиться")</f>
        <v>Ознакомиться</v>
      </c>
      <c r="W908" s="8" t="s">
        <v>45</v>
      </c>
      <c r="X908" s="6"/>
      <c r="Y908" s="6"/>
      <c r="Z908" s="6"/>
      <c r="AA908" s="6" t="s">
        <v>79</v>
      </c>
    </row>
    <row r="909" spans="1:27" s="4" customFormat="1" ht="42" customHeight="1">
      <c r="A909" s="5">
        <v>0</v>
      </c>
      <c r="B909" s="6" t="s">
        <v>5011</v>
      </c>
      <c r="C909" s="7">
        <v>1140</v>
      </c>
      <c r="D909" s="8" t="s">
        <v>5012</v>
      </c>
      <c r="E909" s="8" t="s">
        <v>5013</v>
      </c>
      <c r="F909" s="8" t="s">
        <v>3815</v>
      </c>
      <c r="G909" s="6" t="s">
        <v>58</v>
      </c>
      <c r="H909" s="6" t="s">
        <v>84</v>
      </c>
      <c r="I909" s="8" t="s">
        <v>85</v>
      </c>
      <c r="J909" s="9">
        <v>1</v>
      </c>
      <c r="K909" s="9">
        <v>328</v>
      </c>
      <c r="L909" s="9">
        <v>2018</v>
      </c>
      <c r="M909" s="8" t="s">
        <v>5014</v>
      </c>
      <c r="N909" s="8" t="s">
        <v>40</v>
      </c>
      <c r="O909" s="8" t="s">
        <v>41</v>
      </c>
      <c r="P909" s="6" t="s">
        <v>841</v>
      </c>
      <c r="Q909" s="8" t="s">
        <v>43</v>
      </c>
      <c r="R909" s="10" t="s">
        <v>5015</v>
      </c>
      <c r="S909" s="11"/>
      <c r="T909" s="6"/>
      <c r="U909" s="28" t="str">
        <f>HYPERLINK("https://media.infra-m.ru/0930/0930912/cover/930912.jpg", "Обложка")</f>
        <v>Обложка</v>
      </c>
      <c r="V909" s="28" t="str">
        <f>HYPERLINK("https://znanium.ru/catalog/product/930912", "Ознакомиться")</f>
        <v>Ознакомиться</v>
      </c>
      <c r="W909" s="8" t="s">
        <v>45</v>
      </c>
      <c r="X909" s="6"/>
      <c r="Y909" s="6"/>
      <c r="Z909" s="6"/>
      <c r="AA909" s="6" t="s">
        <v>88</v>
      </c>
    </row>
    <row r="910" spans="1:27" s="4" customFormat="1" ht="42" customHeight="1">
      <c r="A910" s="5">
        <v>0</v>
      </c>
      <c r="B910" s="6" t="s">
        <v>5016</v>
      </c>
      <c r="C910" s="7">
        <v>1169.9000000000001</v>
      </c>
      <c r="D910" s="8" t="s">
        <v>5017</v>
      </c>
      <c r="E910" s="8" t="s">
        <v>5018</v>
      </c>
      <c r="F910" s="8" t="s">
        <v>5019</v>
      </c>
      <c r="G910" s="6" t="s">
        <v>58</v>
      </c>
      <c r="H910" s="6" t="s">
        <v>38</v>
      </c>
      <c r="I910" s="8"/>
      <c r="J910" s="9">
        <v>1</v>
      </c>
      <c r="K910" s="9">
        <v>288</v>
      </c>
      <c r="L910" s="9">
        <v>2019</v>
      </c>
      <c r="M910" s="8" t="s">
        <v>5020</v>
      </c>
      <c r="N910" s="8" t="s">
        <v>40</v>
      </c>
      <c r="O910" s="8" t="s">
        <v>41</v>
      </c>
      <c r="P910" s="6" t="s">
        <v>42</v>
      </c>
      <c r="Q910" s="8" t="s">
        <v>43</v>
      </c>
      <c r="R910" s="10" t="s">
        <v>308</v>
      </c>
      <c r="S910" s="11"/>
      <c r="T910" s="6"/>
      <c r="U910" s="28" t="str">
        <f>HYPERLINK("https://media.infra-m.ru/1011/1011094/cover/1011094.jpg", "Обложка")</f>
        <v>Обложка</v>
      </c>
      <c r="V910" s="28" t="str">
        <f>HYPERLINK("https://znanium.ru/catalog/product/1011094", "Ознакомиться")</f>
        <v>Ознакомиться</v>
      </c>
      <c r="W910" s="8" t="s">
        <v>107</v>
      </c>
      <c r="X910" s="6"/>
      <c r="Y910" s="6"/>
      <c r="Z910" s="6"/>
      <c r="AA910" s="6" t="s">
        <v>148</v>
      </c>
    </row>
    <row r="911" spans="1:27" s="4" customFormat="1" ht="51.95" customHeight="1">
      <c r="A911" s="5">
        <v>0</v>
      </c>
      <c r="B911" s="6" t="s">
        <v>5021</v>
      </c>
      <c r="C911" s="13">
        <v>828</v>
      </c>
      <c r="D911" s="8" t="s">
        <v>5022</v>
      </c>
      <c r="E911" s="8" t="s">
        <v>5023</v>
      </c>
      <c r="F911" s="8" t="s">
        <v>5024</v>
      </c>
      <c r="G911" s="6" t="s">
        <v>58</v>
      </c>
      <c r="H911" s="6" t="s">
        <v>38</v>
      </c>
      <c r="I911" s="8"/>
      <c r="J911" s="9">
        <v>1</v>
      </c>
      <c r="K911" s="9">
        <v>144</v>
      </c>
      <c r="L911" s="9">
        <v>2024</v>
      </c>
      <c r="M911" s="8" t="s">
        <v>5025</v>
      </c>
      <c r="N911" s="8" t="s">
        <v>40</v>
      </c>
      <c r="O911" s="8" t="s">
        <v>41</v>
      </c>
      <c r="P911" s="6" t="s">
        <v>75</v>
      </c>
      <c r="Q911" s="8" t="s">
        <v>157</v>
      </c>
      <c r="R911" s="10" t="s">
        <v>5026</v>
      </c>
      <c r="S911" s="11"/>
      <c r="T911" s="6"/>
      <c r="U911" s="28" t="str">
        <f>HYPERLINK("https://media.infra-m.ru/2082/2082404/cover/2082404.jpg", "Обложка")</f>
        <v>Обложка</v>
      </c>
      <c r="V911" s="28" t="str">
        <f>HYPERLINK("https://znanium.ru/catalog/product/2082404", "Ознакомиться")</f>
        <v>Ознакомиться</v>
      </c>
      <c r="W911" s="8" t="s">
        <v>114</v>
      </c>
      <c r="X911" s="6" t="s">
        <v>99</v>
      </c>
      <c r="Y911" s="6"/>
      <c r="Z911" s="6"/>
      <c r="AA911" s="6" t="s">
        <v>392</v>
      </c>
    </row>
    <row r="912" spans="1:27" s="4" customFormat="1" ht="51.95" customHeight="1">
      <c r="A912" s="5">
        <v>0</v>
      </c>
      <c r="B912" s="6" t="s">
        <v>5027</v>
      </c>
      <c r="C912" s="7">
        <v>1060.8</v>
      </c>
      <c r="D912" s="8" t="s">
        <v>5028</v>
      </c>
      <c r="E912" s="8" t="s">
        <v>5029</v>
      </c>
      <c r="F912" s="8" t="s">
        <v>5030</v>
      </c>
      <c r="G912" s="6" t="s">
        <v>58</v>
      </c>
      <c r="H912" s="6" t="s">
        <v>38</v>
      </c>
      <c r="I912" s="8"/>
      <c r="J912" s="9">
        <v>1</v>
      </c>
      <c r="K912" s="9">
        <v>192</v>
      </c>
      <c r="L912" s="9">
        <v>2024</v>
      </c>
      <c r="M912" s="8" t="s">
        <v>5031</v>
      </c>
      <c r="N912" s="8" t="s">
        <v>40</v>
      </c>
      <c r="O912" s="8" t="s">
        <v>41</v>
      </c>
      <c r="P912" s="6" t="s">
        <v>75</v>
      </c>
      <c r="Q912" s="8" t="s">
        <v>76</v>
      </c>
      <c r="R912" s="10" t="s">
        <v>5032</v>
      </c>
      <c r="S912" s="11"/>
      <c r="T912" s="6"/>
      <c r="U912" s="28" t="str">
        <f>HYPERLINK("https://media.infra-m.ru/2087/2087290/cover/2087290.jpg", "Обложка")</f>
        <v>Обложка</v>
      </c>
      <c r="V912" s="28" t="str">
        <f>HYPERLINK("https://znanium.ru/catalog/product/1897302", "Ознакомиться")</f>
        <v>Ознакомиться</v>
      </c>
      <c r="W912" s="8" t="s">
        <v>3432</v>
      </c>
      <c r="X912" s="6"/>
      <c r="Y912" s="6"/>
      <c r="Z912" s="6"/>
      <c r="AA912" s="6" t="s">
        <v>208</v>
      </c>
    </row>
    <row r="913" spans="1:27" s="4" customFormat="1" ht="51.95" customHeight="1">
      <c r="A913" s="5">
        <v>0</v>
      </c>
      <c r="B913" s="6" t="s">
        <v>5033</v>
      </c>
      <c r="C913" s="13">
        <v>612</v>
      </c>
      <c r="D913" s="8" t="s">
        <v>5034</v>
      </c>
      <c r="E913" s="8" t="s">
        <v>5035</v>
      </c>
      <c r="F913" s="8" t="s">
        <v>5036</v>
      </c>
      <c r="G913" s="6" t="s">
        <v>51</v>
      </c>
      <c r="H913" s="6" t="s">
        <v>38</v>
      </c>
      <c r="I913" s="8"/>
      <c r="J913" s="9">
        <v>1</v>
      </c>
      <c r="K913" s="9">
        <v>96</v>
      </c>
      <c r="L913" s="9">
        <v>2024</v>
      </c>
      <c r="M913" s="8" t="s">
        <v>5037</v>
      </c>
      <c r="N913" s="8" t="s">
        <v>40</v>
      </c>
      <c r="O913" s="8" t="s">
        <v>41</v>
      </c>
      <c r="P913" s="6" t="s">
        <v>42</v>
      </c>
      <c r="Q913" s="8" t="s">
        <v>300</v>
      </c>
      <c r="R913" s="10" t="s">
        <v>5038</v>
      </c>
      <c r="S913" s="11"/>
      <c r="T913" s="6"/>
      <c r="U913" s="28" t="str">
        <f>HYPERLINK("https://media.infra-m.ru/2136/2136105/cover/2136105.jpg", "Обложка")</f>
        <v>Обложка</v>
      </c>
      <c r="V913" s="28" t="str">
        <f>HYPERLINK("https://znanium.ru/catalog/product/1854737", "Ознакомиться")</f>
        <v>Ознакомиться</v>
      </c>
      <c r="W913" s="8" t="s">
        <v>114</v>
      </c>
      <c r="X913" s="6"/>
      <c r="Y913" s="6"/>
      <c r="Z913" s="6"/>
      <c r="AA913" s="6" t="s">
        <v>88</v>
      </c>
    </row>
    <row r="914" spans="1:27" s="4" customFormat="1" ht="51.95" customHeight="1">
      <c r="A914" s="5">
        <v>0</v>
      </c>
      <c r="B914" s="6" t="s">
        <v>5039</v>
      </c>
      <c r="C914" s="13">
        <v>684</v>
      </c>
      <c r="D914" s="8" t="s">
        <v>5040</v>
      </c>
      <c r="E914" s="8" t="s">
        <v>5041</v>
      </c>
      <c r="F914" s="8" t="s">
        <v>5042</v>
      </c>
      <c r="G914" s="6" t="s">
        <v>51</v>
      </c>
      <c r="H914" s="6" t="s">
        <v>84</v>
      </c>
      <c r="I914" s="8" t="s">
        <v>250</v>
      </c>
      <c r="J914" s="9">
        <v>1</v>
      </c>
      <c r="K914" s="9">
        <v>138</v>
      </c>
      <c r="L914" s="9">
        <v>2021</v>
      </c>
      <c r="M914" s="8" t="s">
        <v>5043</v>
      </c>
      <c r="N914" s="8" t="s">
        <v>40</v>
      </c>
      <c r="O914" s="8" t="s">
        <v>41</v>
      </c>
      <c r="P914" s="6" t="s">
        <v>42</v>
      </c>
      <c r="Q914" s="8" t="s">
        <v>43</v>
      </c>
      <c r="R914" s="10" t="s">
        <v>5044</v>
      </c>
      <c r="S914" s="11"/>
      <c r="T914" s="6"/>
      <c r="U914" s="28" t="str">
        <f>HYPERLINK("https://media.infra-m.ru/1290/1290966/cover/1290966.jpg", "Обложка")</f>
        <v>Обложка</v>
      </c>
      <c r="V914" s="28" t="str">
        <f>HYPERLINK("https://znanium.ru/catalog/product/1290966", "Ознакомиться")</f>
        <v>Ознакомиться</v>
      </c>
      <c r="W914" s="8" t="s">
        <v>344</v>
      </c>
      <c r="X914" s="6"/>
      <c r="Y914" s="6"/>
      <c r="Z914" s="6"/>
      <c r="AA914" s="6" t="s">
        <v>79</v>
      </c>
    </row>
    <row r="915" spans="1:27" s="4" customFormat="1" ht="42" customHeight="1">
      <c r="A915" s="5">
        <v>0</v>
      </c>
      <c r="B915" s="6" t="s">
        <v>5045</v>
      </c>
      <c r="C915" s="7">
        <v>1476</v>
      </c>
      <c r="D915" s="8" t="s">
        <v>5046</v>
      </c>
      <c r="E915" s="8" t="s">
        <v>5047</v>
      </c>
      <c r="F915" s="8" t="s">
        <v>5048</v>
      </c>
      <c r="G915" s="6" t="s">
        <v>51</v>
      </c>
      <c r="H915" s="6" t="s">
        <v>84</v>
      </c>
      <c r="I915" s="8" t="s">
        <v>85</v>
      </c>
      <c r="J915" s="9">
        <v>1</v>
      </c>
      <c r="K915" s="9">
        <v>272</v>
      </c>
      <c r="L915" s="9">
        <v>2023</v>
      </c>
      <c r="M915" s="8" t="s">
        <v>5049</v>
      </c>
      <c r="N915" s="8" t="s">
        <v>40</v>
      </c>
      <c r="O915" s="8" t="s">
        <v>41</v>
      </c>
      <c r="P915" s="6" t="s">
        <v>42</v>
      </c>
      <c r="Q915" s="8" t="s">
        <v>43</v>
      </c>
      <c r="R915" s="10" t="s">
        <v>113</v>
      </c>
      <c r="S915" s="11"/>
      <c r="T915" s="6"/>
      <c r="U915" s="28" t="str">
        <f>HYPERLINK("https://media.infra-m.ru/2029/2029816/cover/2029816.jpg", "Обложка")</f>
        <v>Обложка</v>
      </c>
      <c r="V915" s="28" t="str">
        <f>HYPERLINK("https://znanium.ru/catalog/product/2029816", "Ознакомиться")</f>
        <v>Ознакомиться</v>
      </c>
      <c r="W915" s="8" t="s">
        <v>45</v>
      </c>
      <c r="X915" s="6"/>
      <c r="Y915" s="6"/>
      <c r="Z915" s="6"/>
      <c r="AA915" s="6" t="s">
        <v>88</v>
      </c>
    </row>
    <row r="916" spans="1:27" s="4" customFormat="1" ht="51.95" customHeight="1">
      <c r="A916" s="5">
        <v>0</v>
      </c>
      <c r="B916" s="6" t="s">
        <v>5050</v>
      </c>
      <c r="C916" s="7">
        <v>1391.9</v>
      </c>
      <c r="D916" s="8" t="s">
        <v>5051</v>
      </c>
      <c r="E916" s="8" t="s">
        <v>5052</v>
      </c>
      <c r="F916" s="8" t="s">
        <v>5053</v>
      </c>
      <c r="G916" s="6" t="s">
        <v>58</v>
      </c>
      <c r="H916" s="6" t="s">
        <v>38</v>
      </c>
      <c r="I916" s="8"/>
      <c r="J916" s="9">
        <v>1</v>
      </c>
      <c r="K916" s="9">
        <v>296</v>
      </c>
      <c r="L916" s="9">
        <v>2022</v>
      </c>
      <c r="M916" s="8" t="s">
        <v>5054</v>
      </c>
      <c r="N916" s="8" t="s">
        <v>40</v>
      </c>
      <c r="O916" s="8" t="s">
        <v>41</v>
      </c>
      <c r="P916" s="6" t="s">
        <v>841</v>
      </c>
      <c r="Q916" s="8" t="s">
        <v>43</v>
      </c>
      <c r="R916" s="10" t="s">
        <v>5055</v>
      </c>
      <c r="S916" s="11"/>
      <c r="T916" s="6"/>
      <c r="U916" s="28" t="str">
        <f>HYPERLINK("https://media.infra-m.ru/1842/1842506/cover/1842506.jpg", "Обложка")</f>
        <v>Обложка</v>
      </c>
      <c r="V916" s="28" t="str">
        <f>HYPERLINK("https://znanium.ru/catalog/product/1842506", "Ознакомиться")</f>
        <v>Ознакомиться</v>
      </c>
      <c r="W916" s="8" t="s">
        <v>45</v>
      </c>
      <c r="X916" s="6"/>
      <c r="Y916" s="6"/>
      <c r="Z916" s="6"/>
      <c r="AA916" s="6" t="s">
        <v>353</v>
      </c>
    </row>
    <row r="917" spans="1:27" s="4" customFormat="1" ht="51.95" customHeight="1">
      <c r="A917" s="5">
        <v>0</v>
      </c>
      <c r="B917" s="6" t="s">
        <v>5056</v>
      </c>
      <c r="C917" s="13">
        <v>768</v>
      </c>
      <c r="D917" s="8" t="s">
        <v>5057</v>
      </c>
      <c r="E917" s="8" t="s">
        <v>5058</v>
      </c>
      <c r="F917" s="8" t="s">
        <v>5059</v>
      </c>
      <c r="G917" s="6" t="s">
        <v>51</v>
      </c>
      <c r="H917" s="6" t="s">
        <v>84</v>
      </c>
      <c r="I917" s="8" t="s">
        <v>250</v>
      </c>
      <c r="J917" s="9">
        <v>1</v>
      </c>
      <c r="K917" s="9">
        <v>128</v>
      </c>
      <c r="L917" s="9">
        <v>2023</v>
      </c>
      <c r="M917" s="8" t="s">
        <v>5060</v>
      </c>
      <c r="N917" s="8" t="s">
        <v>40</v>
      </c>
      <c r="O917" s="8" t="s">
        <v>41</v>
      </c>
      <c r="P917" s="6" t="s">
        <v>42</v>
      </c>
      <c r="Q917" s="8" t="s">
        <v>43</v>
      </c>
      <c r="R917" s="10" t="s">
        <v>5061</v>
      </c>
      <c r="S917" s="11"/>
      <c r="T917" s="6"/>
      <c r="U917" s="28" t="str">
        <f>HYPERLINK("https://media.infra-m.ru/1948/1948196/cover/1948196.jpg", "Обложка")</f>
        <v>Обложка</v>
      </c>
      <c r="V917" s="28" t="str">
        <f>HYPERLINK("https://znanium.ru/catalog/product/1948196", "Ознакомиться")</f>
        <v>Ознакомиться</v>
      </c>
      <c r="W917" s="8" t="s">
        <v>5062</v>
      </c>
      <c r="X917" s="6"/>
      <c r="Y917" s="6"/>
      <c r="Z917" s="6"/>
      <c r="AA917" s="6" t="s">
        <v>417</v>
      </c>
    </row>
    <row r="918" spans="1:27" s="4" customFormat="1" ht="42" customHeight="1">
      <c r="A918" s="5">
        <v>0</v>
      </c>
      <c r="B918" s="6" t="s">
        <v>5063</v>
      </c>
      <c r="C918" s="7">
        <v>1200</v>
      </c>
      <c r="D918" s="8" t="s">
        <v>5064</v>
      </c>
      <c r="E918" s="8" t="s">
        <v>5065</v>
      </c>
      <c r="F918" s="8" t="s">
        <v>5066</v>
      </c>
      <c r="G918" s="6" t="s">
        <v>51</v>
      </c>
      <c r="H918" s="6" t="s">
        <v>84</v>
      </c>
      <c r="I918" s="8" t="s">
        <v>250</v>
      </c>
      <c r="J918" s="9">
        <v>1</v>
      </c>
      <c r="K918" s="9">
        <v>212</v>
      </c>
      <c r="L918" s="9">
        <v>2024</v>
      </c>
      <c r="M918" s="8" t="s">
        <v>5067</v>
      </c>
      <c r="N918" s="8" t="s">
        <v>40</v>
      </c>
      <c r="O918" s="8" t="s">
        <v>41</v>
      </c>
      <c r="P918" s="6" t="s">
        <v>42</v>
      </c>
      <c r="Q918" s="8" t="s">
        <v>43</v>
      </c>
      <c r="R918" s="10" t="s">
        <v>308</v>
      </c>
      <c r="S918" s="11"/>
      <c r="T918" s="6"/>
      <c r="U918" s="28" t="str">
        <f>HYPERLINK("https://media.infra-m.ru/2124/2124791/cover/2124791.jpg", "Обложка")</f>
        <v>Обложка</v>
      </c>
      <c r="V918" s="28" t="str">
        <f>HYPERLINK("https://znanium.ru/catalog/product/2124791", "Ознакомиться")</f>
        <v>Ознакомиться</v>
      </c>
      <c r="W918" s="8" t="s">
        <v>568</v>
      </c>
      <c r="X918" s="6"/>
      <c r="Y918" s="6"/>
      <c r="Z918" s="6"/>
      <c r="AA918" s="6" t="s">
        <v>115</v>
      </c>
    </row>
    <row r="919" spans="1:27" s="4" customFormat="1" ht="51.95" customHeight="1">
      <c r="A919" s="5">
        <v>0</v>
      </c>
      <c r="B919" s="6" t="s">
        <v>5068</v>
      </c>
      <c r="C919" s="13">
        <v>696</v>
      </c>
      <c r="D919" s="8" t="s">
        <v>5069</v>
      </c>
      <c r="E919" s="8" t="s">
        <v>5070</v>
      </c>
      <c r="F919" s="8" t="s">
        <v>5071</v>
      </c>
      <c r="G919" s="6" t="s">
        <v>51</v>
      </c>
      <c r="H919" s="6" t="s">
        <v>38</v>
      </c>
      <c r="I919" s="8"/>
      <c r="J919" s="9">
        <v>1</v>
      </c>
      <c r="K919" s="9">
        <v>128</v>
      </c>
      <c r="L919" s="9">
        <v>2020</v>
      </c>
      <c r="M919" s="8" t="s">
        <v>5072</v>
      </c>
      <c r="N919" s="8" t="s">
        <v>40</v>
      </c>
      <c r="O919" s="8" t="s">
        <v>41</v>
      </c>
      <c r="P919" s="6" t="s">
        <v>95</v>
      </c>
      <c r="Q919" s="8" t="s">
        <v>157</v>
      </c>
      <c r="R919" s="10" t="s">
        <v>5073</v>
      </c>
      <c r="S919" s="11"/>
      <c r="T919" s="6"/>
      <c r="U919" s="28" t="str">
        <f>HYPERLINK("https://media.infra-m.ru/1949/1949124/cover/1949124.jpg", "Обложка")</f>
        <v>Обложка</v>
      </c>
      <c r="V919" s="28" t="str">
        <f>HYPERLINK("https://znanium.ru/catalog/product/960152", "Ознакомиться")</f>
        <v>Ознакомиться</v>
      </c>
      <c r="W919" s="8" t="s">
        <v>114</v>
      </c>
      <c r="X919" s="6"/>
      <c r="Y919" s="6"/>
      <c r="Z919" s="6"/>
      <c r="AA919" s="6" t="s">
        <v>46</v>
      </c>
    </row>
    <row r="920" spans="1:27" s="4" customFormat="1" ht="51.95" customHeight="1">
      <c r="A920" s="5">
        <v>0</v>
      </c>
      <c r="B920" s="6" t="s">
        <v>5074</v>
      </c>
      <c r="C920" s="13">
        <v>737.9</v>
      </c>
      <c r="D920" s="8" t="s">
        <v>5075</v>
      </c>
      <c r="E920" s="8" t="s">
        <v>5076</v>
      </c>
      <c r="F920" s="8" t="s">
        <v>5030</v>
      </c>
      <c r="G920" s="6" t="s">
        <v>58</v>
      </c>
      <c r="H920" s="6" t="s">
        <v>38</v>
      </c>
      <c r="I920" s="8"/>
      <c r="J920" s="9">
        <v>1</v>
      </c>
      <c r="K920" s="9">
        <v>192</v>
      </c>
      <c r="L920" s="9">
        <v>2018</v>
      </c>
      <c r="M920" s="8" t="s">
        <v>5077</v>
      </c>
      <c r="N920" s="8" t="s">
        <v>40</v>
      </c>
      <c r="O920" s="8" t="s">
        <v>41</v>
      </c>
      <c r="P920" s="6" t="s">
        <v>75</v>
      </c>
      <c r="Q920" s="8" t="s">
        <v>76</v>
      </c>
      <c r="R920" s="10" t="s">
        <v>5032</v>
      </c>
      <c r="S920" s="11"/>
      <c r="T920" s="6"/>
      <c r="U920" s="28" t="str">
        <f>HYPERLINK("https://media.infra-m.ru/0858/0858762/cover/858762.jpg", "Обложка")</f>
        <v>Обложка</v>
      </c>
      <c r="V920" s="28" t="str">
        <f>HYPERLINK("https://znanium.ru/catalog/product/1897302", "Ознакомиться")</f>
        <v>Ознакомиться</v>
      </c>
      <c r="W920" s="8" t="s">
        <v>3432</v>
      </c>
      <c r="X920" s="6"/>
      <c r="Y920" s="6"/>
      <c r="Z920" s="6"/>
      <c r="AA920" s="6" t="s">
        <v>337</v>
      </c>
    </row>
    <row r="921" spans="1:27" s="4" customFormat="1" ht="42" customHeight="1">
      <c r="A921" s="5">
        <v>0</v>
      </c>
      <c r="B921" s="6" t="s">
        <v>5078</v>
      </c>
      <c r="C921" s="7">
        <v>2080.8000000000002</v>
      </c>
      <c r="D921" s="8" t="s">
        <v>5079</v>
      </c>
      <c r="E921" s="8" t="s">
        <v>5080</v>
      </c>
      <c r="F921" s="8" t="s">
        <v>5081</v>
      </c>
      <c r="G921" s="6" t="s">
        <v>37</v>
      </c>
      <c r="H921" s="6" t="s">
        <v>84</v>
      </c>
      <c r="I921" s="8" t="s">
        <v>85</v>
      </c>
      <c r="J921" s="9">
        <v>1</v>
      </c>
      <c r="K921" s="9">
        <v>368</v>
      </c>
      <c r="L921" s="9">
        <v>2024</v>
      </c>
      <c r="M921" s="8" t="s">
        <v>5082</v>
      </c>
      <c r="N921" s="8" t="s">
        <v>40</v>
      </c>
      <c r="O921" s="8" t="s">
        <v>41</v>
      </c>
      <c r="P921" s="6" t="s">
        <v>841</v>
      </c>
      <c r="Q921" s="8" t="s">
        <v>43</v>
      </c>
      <c r="R921" s="10" t="s">
        <v>113</v>
      </c>
      <c r="S921" s="11"/>
      <c r="T921" s="6"/>
      <c r="U921" s="28" t="str">
        <f>HYPERLINK("https://media.infra-m.ru/2144/2144162/cover/2144162.jpg", "Обложка")</f>
        <v>Обложка</v>
      </c>
      <c r="V921" s="28" t="str">
        <f>HYPERLINK("https://znanium.ru/catalog/product/1859834", "Ознакомиться")</f>
        <v>Ознакомиться</v>
      </c>
      <c r="W921" s="8" t="s">
        <v>45</v>
      </c>
      <c r="X921" s="6"/>
      <c r="Y921" s="6"/>
      <c r="Z921" s="6"/>
      <c r="AA921" s="6" t="s">
        <v>148</v>
      </c>
    </row>
    <row r="922" spans="1:27" s="4" customFormat="1" ht="44.1" customHeight="1">
      <c r="A922" s="5">
        <v>0</v>
      </c>
      <c r="B922" s="6" t="s">
        <v>5083</v>
      </c>
      <c r="C922" s="7">
        <v>1644</v>
      </c>
      <c r="D922" s="8" t="s">
        <v>5084</v>
      </c>
      <c r="E922" s="8" t="s">
        <v>5085</v>
      </c>
      <c r="F922" s="8" t="s">
        <v>5086</v>
      </c>
      <c r="G922" s="6" t="s">
        <v>37</v>
      </c>
      <c r="H922" s="6" t="s">
        <v>84</v>
      </c>
      <c r="I922" s="8" t="s">
        <v>85</v>
      </c>
      <c r="J922" s="9">
        <v>1</v>
      </c>
      <c r="K922" s="9">
        <v>304</v>
      </c>
      <c r="L922" s="9">
        <v>2023</v>
      </c>
      <c r="M922" s="8" t="s">
        <v>5087</v>
      </c>
      <c r="N922" s="8" t="s">
        <v>40</v>
      </c>
      <c r="O922" s="8" t="s">
        <v>41</v>
      </c>
      <c r="P922" s="6" t="s">
        <v>42</v>
      </c>
      <c r="Q922" s="8" t="s">
        <v>43</v>
      </c>
      <c r="R922" s="10" t="s">
        <v>1923</v>
      </c>
      <c r="S922" s="11"/>
      <c r="T922" s="6"/>
      <c r="U922" s="28" t="str">
        <f>HYPERLINK("https://media.infra-m.ru/1964/1964967/cover/1964967.jpg", "Обложка")</f>
        <v>Обложка</v>
      </c>
      <c r="V922" s="28" t="str">
        <f>HYPERLINK("https://znanium.ru/catalog/product/1964967", "Ознакомиться")</f>
        <v>Ознакомиться</v>
      </c>
      <c r="W922" s="8" t="s">
        <v>5088</v>
      </c>
      <c r="X922" s="6"/>
      <c r="Y922" s="6"/>
      <c r="Z922" s="6"/>
      <c r="AA922" s="6" t="s">
        <v>79</v>
      </c>
    </row>
    <row r="923" spans="1:27" s="4" customFormat="1" ht="51.95" customHeight="1">
      <c r="A923" s="5">
        <v>0</v>
      </c>
      <c r="B923" s="6" t="s">
        <v>5089</v>
      </c>
      <c r="C923" s="13">
        <v>521.9</v>
      </c>
      <c r="D923" s="8" t="s">
        <v>5090</v>
      </c>
      <c r="E923" s="8" t="s">
        <v>5091</v>
      </c>
      <c r="F923" s="8" t="s">
        <v>463</v>
      </c>
      <c r="G923" s="6" t="s">
        <v>51</v>
      </c>
      <c r="H923" s="6" t="s">
        <v>38</v>
      </c>
      <c r="I923" s="8"/>
      <c r="J923" s="9">
        <v>1</v>
      </c>
      <c r="K923" s="9">
        <v>128</v>
      </c>
      <c r="L923" s="9">
        <v>2020</v>
      </c>
      <c r="M923" s="8" t="s">
        <v>5092</v>
      </c>
      <c r="N923" s="8" t="s">
        <v>40</v>
      </c>
      <c r="O923" s="8" t="s">
        <v>41</v>
      </c>
      <c r="P923" s="6" t="s">
        <v>75</v>
      </c>
      <c r="Q923" s="8" t="s">
        <v>157</v>
      </c>
      <c r="R923" s="10" t="s">
        <v>5026</v>
      </c>
      <c r="S923" s="11"/>
      <c r="T923" s="6"/>
      <c r="U923" s="28" t="str">
        <f>HYPERLINK("https://media.infra-m.ru/1044/1044597/cover/1044597.jpg", "Обложка")</f>
        <v>Обложка</v>
      </c>
      <c r="V923" s="28" t="str">
        <f>HYPERLINK("https://znanium.ru/catalog/product/2082404", "Ознакомиться")</f>
        <v>Ознакомиться</v>
      </c>
      <c r="W923" s="8" t="s">
        <v>114</v>
      </c>
      <c r="X923" s="6"/>
      <c r="Y923" s="6"/>
      <c r="Z923" s="6"/>
      <c r="AA923" s="6" t="s">
        <v>46</v>
      </c>
    </row>
    <row r="924" spans="1:27" s="4" customFormat="1" ht="51.95" customHeight="1">
      <c r="A924" s="5">
        <v>0</v>
      </c>
      <c r="B924" s="6" t="s">
        <v>5093</v>
      </c>
      <c r="C924" s="7">
        <v>1229.9000000000001</v>
      </c>
      <c r="D924" s="8" t="s">
        <v>5094</v>
      </c>
      <c r="E924" s="8" t="s">
        <v>5095</v>
      </c>
      <c r="F924" s="8" t="s">
        <v>5096</v>
      </c>
      <c r="G924" s="6" t="s">
        <v>58</v>
      </c>
      <c r="H924" s="6" t="s">
        <v>410</v>
      </c>
      <c r="I924" s="8"/>
      <c r="J924" s="9">
        <v>1</v>
      </c>
      <c r="K924" s="9">
        <v>320</v>
      </c>
      <c r="L924" s="9">
        <v>2019</v>
      </c>
      <c r="M924" s="8"/>
      <c r="N924" s="8" t="s">
        <v>40</v>
      </c>
      <c r="O924" s="8" t="s">
        <v>41</v>
      </c>
      <c r="P924" s="6" t="s">
        <v>95</v>
      </c>
      <c r="Q924" s="8" t="s">
        <v>157</v>
      </c>
      <c r="R924" s="10" t="s">
        <v>5097</v>
      </c>
      <c r="S924" s="11"/>
      <c r="T924" s="6"/>
      <c r="U924" s="28" t="str">
        <f>HYPERLINK("https://media.infra-m.ru/1011/1011095/cover/1011095.jpg", "Обложка")</f>
        <v>Обложка</v>
      </c>
      <c r="V924" s="28" t="str">
        <f>HYPERLINK("https://znanium.ru/catalog/product/2049691", "Ознакомиться")</f>
        <v>Ознакомиться</v>
      </c>
      <c r="W924" s="8" t="s">
        <v>114</v>
      </c>
      <c r="X924" s="6"/>
      <c r="Y924" s="6"/>
      <c r="Z924" s="6"/>
      <c r="AA924" s="6" t="s">
        <v>88</v>
      </c>
    </row>
    <row r="925" spans="1:27" s="4" customFormat="1" ht="51.95" customHeight="1">
      <c r="A925" s="5">
        <v>0</v>
      </c>
      <c r="B925" s="6" t="s">
        <v>5098</v>
      </c>
      <c r="C925" s="7">
        <v>1896</v>
      </c>
      <c r="D925" s="8" t="s">
        <v>5099</v>
      </c>
      <c r="E925" s="8" t="s">
        <v>5100</v>
      </c>
      <c r="F925" s="8" t="s">
        <v>5096</v>
      </c>
      <c r="G925" s="6" t="s">
        <v>37</v>
      </c>
      <c r="H925" s="6" t="s">
        <v>38</v>
      </c>
      <c r="I925" s="8"/>
      <c r="J925" s="9">
        <v>1</v>
      </c>
      <c r="K925" s="9">
        <v>336</v>
      </c>
      <c r="L925" s="9">
        <v>2024</v>
      </c>
      <c r="M925" s="8" t="s">
        <v>5101</v>
      </c>
      <c r="N925" s="8" t="s">
        <v>40</v>
      </c>
      <c r="O925" s="8" t="s">
        <v>41</v>
      </c>
      <c r="P925" s="6" t="s">
        <v>95</v>
      </c>
      <c r="Q925" s="8" t="s">
        <v>157</v>
      </c>
      <c r="R925" s="10" t="s">
        <v>5097</v>
      </c>
      <c r="S925" s="11"/>
      <c r="T925" s="6"/>
      <c r="U925" s="28" t="str">
        <f>HYPERLINK("https://media.infra-m.ru/2049/2049691/cover/2049691.jpg", "Обложка")</f>
        <v>Обложка</v>
      </c>
      <c r="V925" s="28" t="str">
        <f>HYPERLINK("https://znanium.ru/catalog/product/2049691", "Ознакомиться")</f>
        <v>Ознакомиться</v>
      </c>
      <c r="W925" s="8" t="s">
        <v>114</v>
      </c>
      <c r="X925" s="6" t="s">
        <v>498</v>
      </c>
      <c r="Y925" s="6"/>
      <c r="Z925" s="6"/>
      <c r="AA925" s="6" t="s">
        <v>392</v>
      </c>
    </row>
    <row r="926" spans="1:27" s="4" customFormat="1" ht="51.95" customHeight="1">
      <c r="A926" s="5">
        <v>0</v>
      </c>
      <c r="B926" s="6" t="s">
        <v>5102</v>
      </c>
      <c r="C926" s="7">
        <v>1193.9000000000001</v>
      </c>
      <c r="D926" s="8" t="s">
        <v>5103</v>
      </c>
      <c r="E926" s="8" t="s">
        <v>5104</v>
      </c>
      <c r="F926" s="8" t="s">
        <v>5105</v>
      </c>
      <c r="G926" s="6" t="s">
        <v>58</v>
      </c>
      <c r="H926" s="6" t="s">
        <v>84</v>
      </c>
      <c r="I926" s="8" t="s">
        <v>120</v>
      </c>
      <c r="J926" s="9">
        <v>1</v>
      </c>
      <c r="K926" s="9">
        <v>461</v>
      </c>
      <c r="L926" s="9">
        <v>2017</v>
      </c>
      <c r="M926" s="8" t="s">
        <v>5106</v>
      </c>
      <c r="N926" s="8" t="s">
        <v>40</v>
      </c>
      <c r="O926" s="8" t="s">
        <v>41</v>
      </c>
      <c r="P926" s="6" t="s">
        <v>95</v>
      </c>
      <c r="Q926" s="8" t="s">
        <v>76</v>
      </c>
      <c r="R926" s="10" t="s">
        <v>5107</v>
      </c>
      <c r="S926" s="11" t="s">
        <v>5108</v>
      </c>
      <c r="T926" s="6"/>
      <c r="U926" s="12"/>
      <c r="V926" s="28" t="str">
        <f>HYPERLINK("https://znanium.ru/catalog/product/2125652", "Ознакомиться")</f>
        <v>Ознакомиться</v>
      </c>
      <c r="W926" s="8" t="s">
        <v>2540</v>
      </c>
      <c r="X926" s="6"/>
      <c r="Y926" s="6"/>
      <c r="Z926" s="6"/>
      <c r="AA926" s="6" t="s">
        <v>758</v>
      </c>
    </row>
    <row r="927" spans="1:27" s="4" customFormat="1" ht="51.95" customHeight="1">
      <c r="A927" s="5">
        <v>0</v>
      </c>
      <c r="B927" s="6" t="s">
        <v>5109</v>
      </c>
      <c r="C927" s="7">
        <v>2652</v>
      </c>
      <c r="D927" s="8" t="s">
        <v>5110</v>
      </c>
      <c r="E927" s="8" t="s">
        <v>5111</v>
      </c>
      <c r="F927" s="8" t="s">
        <v>5105</v>
      </c>
      <c r="G927" s="6" t="s">
        <v>58</v>
      </c>
      <c r="H927" s="6" t="s">
        <v>84</v>
      </c>
      <c r="I927" s="8" t="s">
        <v>320</v>
      </c>
      <c r="J927" s="9">
        <v>1</v>
      </c>
      <c r="K927" s="9">
        <v>479</v>
      </c>
      <c r="L927" s="9">
        <v>2024</v>
      </c>
      <c r="M927" s="8" t="s">
        <v>5112</v>
      </c>
      <c r="N927" s="8" t="s">
        <v>40</v>
      </c>
      <c r="O927" s="8" t="s">
        <v>41</v>
      </c>
      <c r="P927" s="6" t="s">
        <v>95</v>
      </c>
      <c r="Q927" s="8" t="s">
        <v>157</v>
      </c>
      <c r="R927" s="10" t="s">
        <v>5107</v>
      </c>
      <c r="S927" s="11" t="s">
        <v>5113</v>
      </c>
      <c r="T927" s="6"/>
      <c r="U927" s="28" t="str">
        <f>HYPERLINK("https://media.infra-m.ru/2125/2125652/cover/2125652.jpg", "Обложка")</f>
        <v>Обложка</v>
      </c>
      <c r="V927" s="28" t="str">
        <f>HYPERLINK("https://znanium.ru/catalog/product/2125652", "Ознакомиться")</f>
        <v>Ознакомиться</v>
      </c>
      <c r="W927" s="8" t="s">
        <v>2540</v>
      </c>
      <c r="X927" s="6"/>
      <c r="Y927" s="6"/>
      <c r="Z927" s="6"/>
      <c r="AA927" s="6" t="s">
        <v>1219</v>
      </c>
    </row>
    <row r="928" spans="1:27" s="4" customFormat="1" ht="42" customHeight="1">
      <c r="A928" s="5">
        <v>0</v>
      </c>
      <c r="B928" s="6" t="s">
        <v>5114</v>
      </c>
      <c r="C928" s="13">
        <v>916.8</v>
      </c>
      <c r="D928" s="8" t="s">
        <v>5115</v>
      </c>
      <c r="E928" s="8" t="s">
        <v>5116</v>
      </c>
      <c r="F928" s="8" t="s">
        <v>5117</v>
      </c>
      <c r="G928" s="6" t="s">
        <v>51</v>
      </c>
      <c r="H928" s="6" t="s">
        <v>84</v>
      </c>
      <c r="I928" s="8" t="s">
        <v>823</v>
      </c>
      <c r="J928" s="9">
        <v>1</v>
      </c>
      <c r="K928" s="9">
        <v>168</v>
      </c>
      <c r="L928" s="9">
        <v>2023</v>
      </c>
      <c r="M928" s="8" t="s">
        <v>5118</v>
      </c>
      <c r="N928" s="8" t="s">
        <v>40</v>
      </c>
      <c r="O928" s="8" t="s">
        <v>41</v>
      </c>
      <c r="P928" s="6" t="s">
        <v>42</v>
      </c>
      <c r="Q928" s="8" t="s">
        <v>43</v>
      </c>
      <c r="R928" s="10" t="s">
        <v>314</v>
      </c>
      <c r="S928" s="11"/>
      <c r="T928" s="6" t="s">
        <v>378</v>
      </c>
      <c r="U928" s="28" t="str">
        <f>HYPERLINK("https://media.infra-m.ru/2021/2021461/cover/2021461.jpg", "Обложка")</f>
        <v>Обложка</v>
      </c>
      <c r="V928" s="28" t="str">
        <f>HYPERLINK("https://znanium.ru/catalog/product/970046", "Ознакомиться")</f>
        <v>Ознакомиться</v>
      </c>
      <c r="W928" s="8" t="s">
        <v>344</v>
      </c>
      <c r="X928" s="6"/>
      <c r="Y928" s="6"/>
      <c r="Z928" s="6"/>
      <c r="AA928" s="6" t="s">
        <v>79</v>
      </c>
    </row>
    <row r="929" spans="1:27" s="4" customFormat="1" ht="42" customHeight="1">
      <c r="A929" s="5">
        <v>0</v>
      </c>
      <c r="B929" s="6" t="s">
        <v>5119</v>
      </c>
      <c r="C929" s="13">
        <v>652.79999999999995</v>
      </c>
      <c r="D929" s="8" t="s">
        <v>5120</v>
      </c>
      <c r="E929" s="8" t="s">
        <v>5121</v>
      </c>
      <c r="F929" s="8" t="s">
        <v>5122</v>
      </c>
      <c r="G929" s="6" t="s">
        <v>51</v>
      </c>
      <c r="H929" s="6" t="s">
        <v>84</v>
      </c>
      <c r="I929" s="8" t="s">
        <v>250</v>
      </c>
      <c r="J929" s="9">
        <v>1</v>
      </c>
      <c r="K929" s="9">
        <v>109</v>
      </c>
      <c r="L929" s="9">
        <v>2024</v>
      </c>
      <c r="M929" s="8" t="s">
        <v>5123</v>
      </c>
      <c r="N929" s="8" t="s">
        <v>40</v>
      </c>
      <c r="O929" s="8" t="s">
        <v>41</v>
      </c>
      <c r="P929" s="6" t="s">
        <v>42</v>
      </c>
      <c r="Q929" s="8" t="s">
        <v>43</v>
      </c>
      <c r="R929" s="10" t="s">
        <v>308</v>
      </c>
      <c r="S929" s="11"/>
      <c r="T929" s="6"/>
      <c r="U929" s="28" t="str">
        <f>HYPERLINK("https://media.infra-m.ru/2130/2130423/cover/2130423.jpg", "Обложка")</f>
        <v>Обложка</v>
      </c>
      <c r="V929" s="28" t="str">
        <f>HYPERLINK("https://znanium.ru/catalog/product/1891645", "Ознакомиться")</f>
        <v>Ознакомиться</v>
      </c>
      <c r="W929" s="8" t="s">
        <v>2695</v>
      </c>
      <c r="X929" s="6"/>
      <c r="Y929" s="6"/>
      <c r="Z929" s="6"/>
      <c r="AA929" s="6" t="s">
        <v>79</v>
      </c>
    </row>
    <row r="930" spans="1:27" s="4" customFormat="1" ht="42" customHeight="1">
      <c r="A930" s="5">
        <v>0</v>
      </c>
      <c r="B930" s="6" t="s">
        <v>5124</v>
      </c>
      <c r="C930" s="13">
        <v>924</v>
      </c>
      <c r="D930" s="8" t="s">
        <v>5125</v>
      </c>
      <c r="E930" s="8" t="s">
        <v>5126</v>
      </c>
      <c r="F930" s="8" t="s">
        <v>1665</v>
      </c>
      <c r="G930" s="6" t="s">
        <v>51</v>
      </c>
      <c r="H930" s="6" t="s">
        <v>84</v>
      </c>
      <c r="I930" s="8" t="s">
        <v>250</v>
      </c>
      <c r="J930" s="9">
        <v>1</v>
      </c>
      <c r="K930" s="9">
        <v>219</v>
      </c>
      <c r="L930" s="9">
        <v>2020</v>
      </c>
      <c r="M930" s="8" t="s">
        <v>5127</v>
      </c>
      <c r="N930" s="8" t="s">
        <v>40</v>
      </c>
      <c r="O930" s="8" t="s">
        <v>41</v>
      </c>
      <c r="P930" s="6" t="s">
        <v>42</v>
      </c>
      <c r="Q930" s="8" t="s">
        <v>43</v>
      </c>
      <c r="R930" s="10" t="s">
        <v>308</v>
      </c>
      <c r="S930" s="11"/>
      <c r="T930" s="6"/>
      <c r="U930" s="28" t="str">
        <f>HYPERLINK("https://media.infra-m.ru/1087/1087991/cover/1087991.jpg", "Обложка")</f>
        <v>Обложка</v>
      </c>
      <c r="V930" s="28" t="str">
        <f>HYPERLINK("https://znanium.ru/catalog/product/1087991", "Ознакомиться")</f>
        <v>Ознакомиться</v>
      </c>
      <c r="W930" s="8" t="s">
        <v>114</v>
      </c>
      <c r="X930" s="6"/>
      <c r="Y930" s="6"/>
      <c r="Z930" s="6"/>
      <c r="AA930" s="6" t="s">
        <v>79</v>
      </c>
    </row>
    <row r="931" spans="1:27" s="4" customFormat="1" ht="42" customHeight="1">
      <c r="A931" s="5">
        <v>0</v>
      </c>
      <c r="B931" s="6" t="s">
        <v>5128</v>
      </c>
      <c r="C931" s="7">
        <v>1168.8</v>
      </c>
      <c r="D931" s="8" t="s">
        <v>5129</v>
      </c>
      <c r="E931" s="8" t="s">
        <v>5130</v>
      </c>
      <c r="F931" s="8" t="s">
        <v>5131</v>
      </c>
      <c r="G931" s="6" t="s">
        <v>37</v>
      </c>
      <c r="H931" s="6" t="s">
        <v>38</v>
      </c>
      <c r="I931" s="8"/>
      <c r="J931" s="9">
        <v>1</v>
      </c>
      <c r="K931" s="9">
        <v>208</v>
      </c>
      <c r="L931" s="9">
        <v>2024</v>
      </c>
      <c r="M931" s="8" t="s">
        <v>5132</v>
      </c>
      <c r="N931" s="8" t="s">
        <v>40</v>
      </c>
      <c r="O931" s="8" t="s">
        <v>41</v>
      </c>
      <c r="P931" s="6" t="s">
        <v>95</v>
      </c>
      <c r="Q931" s="8" t="s">
        <v>157</v>
      </c>
      <c r="R931" s="10" t="s">
        <v>350</v>
      </c>
      <c r="S931" s="11"/>
      <c r="T931" s="6"/>
      <c r="U931" s="28" t="str">
        <f>HYPERLINK("https://media.infra-m.ru/2141/2141775/cover/2141775.jpg", "Обложка")</f>
        <v>Обложка</v>
      </c>
      <c r="V931" s="28" t="str">
        <f>HYPERLINK("https://znanium.ru/catalog/product/1856390", "Ознакомиться")</f>
        <v>Ознакомиться</v>
      </c>
      <c r="W931" s="8" t="s">
        <v>114</v>
      </c>
      <c r="X931" s="6"/>
      <c r="Y931" s="6"/>
      <c r="Z931" s="6"/>
      <c r="AA931" s="6" t="s">
        <v>143</v>
      </c>
    </row>
    <row r="932" spans="1:27" s="4" customFormat="1" ht="42" customHeight="1">
      <c r="A932" s="5">
        <v>0</v>
      </c>
      <c r="B932" s="6" t="s">
        <v>5133</v>
      </c>
      <c r="C932" s="13">
        <v>948</v>
      </c>
      <c r="D932" s="8" t="s">
        <v>5134</v>
      </c>
      <c r="E932" s="8" t="s">
        <v>5135</v>
      </c>
      <c r="F932" s="8" t="s">
        <v>5131</v>
      </c>
      <c r="G932" s="6" t="s">
        <v>58</v>
      </c>
      <c r="H932" s="6" t="s">
        <v>38</v>
      </c>
      <c r="I932" s="8"/>
      <c r="J932" s="9">
        <v>1</v>
      </c>
      <c r="K932" s="9">
        <v>208</v>
      </c>
      <c r="L932" s="9">
        <v>2020</v>
      </c>
      <c r="M932" s="8" t="s">
        <v>5136</v>
      </c>
      <c r="N932" s="8" t="s">
        <v>40</v>
      </c>
      <c r="O932" s="8" t="s">
        <v>41</v>
      </c>
      <c r="P932" s="6" t="s">
        <v>95</v>
      </c>
      <c r="Q932" s="8" t="s">
        <v>157</v>
      </c>
      <c r="R932" s="10" t="s">
        <v>350</v>
      </c>
      <c r="S932" s="11"/>
      <c r="T932" s="6"/>
      <c r="U932" s="28" t="str">
        <f>HYPERLINK("https://media.infra-m.ru/1087/1087549/cover/1087549.jpg", "Обложка")</f>
        <v>Обложка</v>
      </c>
      <c r="V932" s="28" t="str">
        <f>HYPERLINK("https://znanium.ru/catalog/product/1856390", "Ознакомиться")</f>
        <v>Ознакомиться</v>
      </c>
      <c r="W932" s="8" t="s">
        <v>114</v>
      </c>
      <c r="X932" s="6"/>
      <c r="Y932" s="6"/>
      <c r="Z932" s="6"/>
      <c r="AA932" s="6" t="s">
        <v>79</v>
      </c>
    </row>
    <row r="933" spans="1:27" s="4" customFormat="1" ht="51.95" customHeight="1">
      <c r="A933" s="5">
        <v>0</v>
      </c>
      <c r="B933" s="6" t="s">
        <v>5137</v>
      </c>
      <c r="C933" s="7">
        <v>1439.9</v>
      </c>
      <c r="D933" s="8" t="s">
        <v>5138</v>
      </c>
      <c r="E933" s="8" t="s">
        <v>5139</v>
      </c>
      <c r="F933" s="8" t="s">
        <v>600</v>
      </c>
      <c r="G933" s="6" t="s">
        <v>58</v>
      </c>
      <c r="H933" s="6" t="s">
        <v>38</v>
      </c>
      <c r="I933" s="8"/>
      <c r="J933" s="9">
        <v>1</v>
      </c>
      <c r="K933" s="9">
        <v>248</v>
      </c>
      <c r="L933" s="9">
        <v>2023</v>
      </c>
      <c r="M933" s="8" t="s">
        <v>5140</v>
      </c>
      <c r="N933" s="8" t="s">
        <v>40</v>
      </c>
      <c r="O933" s="8" t="s">
        <v>41</v>
      </c>
      <c r="P933" s="6" t="s">
        <v>95</v>
      </c>
      <c r="Q933" s="8" t="s">
        <v>157</v>
      </c>
      <c r="R933" s="10" t="s">
        <v>5141</v>
      </c>
      <c r="S933" s="11"/>
      <c r="T933" s="6"/>
      <c r="U933" s="28" t="str">
        <f>HYPERLINK("https://media.infra-m.ru/1905/1905572/cover/1905572.jpg", "Обложка")</f>
        <v>Обложка</v>
      </c>
      <c r="V933" s="28" t="str">
        <f>HYPERLINK("https://znanium.ru/catalog/product/1905572", "Ознакомиться")</f>
        <v>Ознакомиться</v>
      </c>
      <c r="W933" s="8" t="s">
        <v>114</v>
      </c>
      <c r="X933" s="6"/>
      <c r="Y933" s="6"/>
      <c r="Z933" s="6"/>
      <c r="AA933" s="6" t="s">
        <v>417</v>
      </c>
    </row>
    <row r="934" spans="1:27" s="4" customFormat="1" ht="42" customHeight="1">
      <c r="A934" s="5">
        <v>0</v>
      </c>
      <c r="B934" s="6" t="s">
        <v>5142</v>
      </c>
      <c r="C934" s="7">
        <v>1464</v>
      </c>
      <c r="D934" s="8" t="s">
        <v>5143</v>
      </c>
      <c r="E934" s="8" t="s">
        <v>5144</v>
      </c>
      <c r="F934" s="8" t="s">
        <v>5145</v>
      </c>
      <c r="G934" s="6" t="s">
        <v>37</v>
      </c>
      <c r="H934" s="6" t="s">
        <v>84</v>
      </c>
      <c r="I934" s="8" t="s">
        <v>85</v>
      </c>
      <c r="J934" s="9">
        <v>1</v>
      </c>
      <c r="K934" s="9">
        <v>312</v>
      </c>
      <c r="L934" s="9">
        <v>2022</v>
      </c>
      <c r="M934" s="8" t="s">
        <v>5146</v>
      </c>
      <c r="N934" s="8" t="s">
        <v>40</v>
      </c>
      <c r="O934" s="8" t="s">
        <v>41</v>
      </c>
      <c r="P934" s="6" t="s">
        <v>42</v>
      </c>
      <c r="Q934" s="8" t="s">
        <v>43</v>
      </c>
      <c r="R934" s="10" t="s">
        <v>308</v>
      </c>
      <c r="S934" s="11"/>
      <c r="T934" s="6"/>
      <c r="U934" s="28" t="str">
        <f>HYPERLINK("https://media.infra-m.ru/1841/1841652/cover/1841652.jpg", "Обложка")</f>
        <v>Обложка</v>
      </c>
      <c r="V934" s="28" t="str">
        <f>HYPERLINK("https://znanium.ru/catalog/product/1841652", "Ознакомиться")</f>
        <v>Ознакомиться</v>
      </c>
      <c r="W934" s="8" t="s">
        <v>45</v>
      </c>
      <c r="X934" s="6"/>
      <c r="Y934" s="6"/>
      <c r="Z934" s="6"/>
      <c r="AA934" s="6" t="s">
        <v>79</v>
      </c>
    </row>
    <row r="935" spans="1:27" s="4" customFormat="1" ht="44.1" customHeight="1">
      <c r="A935" s="5">
        <v>0</v>
      </c>
      <c r="B935" s="6" t="s">
        <v>5147</v>
      </c>
      <c r="C935" s="7">
        <v>1176</v>
      </c>
      <c r="D935" s="8" t="s">
        <v>5148</v>
      </c>
      <c r="E935" s="8" t="s">
        <v>5149</v>
      </c>
      <c r="F935" s="8" t="s">
        <v>5150</v>
      </c>
      <c r="G935" s="6" t="s">
        <v>51</v>
      </c>
      <c r="H935" s="6" t="s">
        <v>84</v>
      </c>
      <c r="I935" s="8" t="s">
        <v>250</v>
      </c>
      <c r="J935" s="9">
        <v>1</v>
      </c>
      <c r="K935" s="9">
        <v>205</v>
      </c>
      <c r="L935" s="9">
        <v>2024</v>
      </c>
      <c r="M935" s="8" t="s">
        <v>5151</v>
      </c>
      <c r="N935" s="8" t="s">
        <v>40</v>
      </c>
      <c r="O935" s="8" t="s">
        <v>41</v>
      </c>
      <c r="P935" s="6" t="s">
        <v>42</v>
      </c>
      <c r="Q935" s="8" t="s">
        <v>43</v>
      </c>
      <c r="R935" s="10" t="s">
        <v>481</v>
      </c>
      <c r="S935" s="11"/>
      <c r="T935" s="6"/>
      <c r="U935" s="28" t="str">
        <f>HYPERLINK("https://media.infra-m.ru/2124/2124800/cover/2124800.jpg", "Обложка")</f>
        <v>Обложка</v>
      </c>
      <c r="V935" s="28" t="str">
        <f>HYPERLINK("https://znanium.ru/catalog/product/2124800", "Ознакомиться")</f>
        <v>Ознакомиться</v>
      </c>
      <c r="W935" s="8" t="s">
        <v>1322</v>
      </c>
      <c r="X935" s="6"/>
      <c r="Y935" s="6"/>
      <c r="Z935" s="6"/>
      <c r="AA935" s="6" t="s">
        <v>417</v>
      </c>
    </row>
    <row r="936" spans="1:27" s="4" customFormat="1" ht="51.95" customHeight="1">
      <c r="A936" s="5">
        <v>0</v>
      </c>
      <c r="B936" s="6" t="s">
        <v>5152</v>
      </c>
      <c r="C936" s="7">
        <v>1344</v>
      </c>
      <c r="D936" s="8" t="s">
        <v>5153</v>
      </c>
      <c r="E936" s="8" t="s">
        <v>5154</v>
      </c>
      <c r="F936" s="8" t="s">
        <v>1600</v>
      </c>
      <c r="G936" s="6" t="s">
        <v>58</v>
      </c>
      <c r="H936" s="6" t="s">
        <v>84</v>
      </c>
      <c r="I936" s="8" t="s">
        <v>93</v>
      </c>
      <c r="J936" s="9">
        <v>1</v>
      </c>
      <c r="K936" s="9">
        <v>236</v>
      </c>
      <c r="L936" s="9">
        <v>2023</v>
      </c>
      <c r="M936" s="8" t="s">
        <v>5155</v>
      </c>
      <c r="N936" s="8" t="s">
        <v>40</v>
      </c>
      <c r="O936" s="8" t="s">
        <v>41</v>
      </c>
      <c r="P936" s="6" t="s">
        <v>75</v>
      </c>
      <c r="Q936" s="8" t="s">
        <v>96</v>
      </c>
      <c r="R936" s="10" t="s">
        <v>1783</v>
      </c>
      <c r="S936" s="11" t="s">
        <v>5156</v>
      </c>
      <c r="T936" s="6"/>
      <c r="U936" s="28" t="str">
        <f>HYPERLINK("https://media.infra-m.ru/1860/1860974/cover/1860974.jpg", "Обложка")</f>
        <v>Обложка</v>
      </c>
      <c r="V936" s="28" t="str">
        <f>HYPERLINK("https://znanium.ru/catalog/product/1860974", "Ознакомиться")</f>
        <v>Ознакомиться</v>
      </c>
      <c r="W936" s="8" t="s">
        <v>1603</v>
      </c>
      <c r="X936" s="6"/>
      <c r="Y936" s="6"/>
      <c r="Z936" s="6"/>
      <c r="AA936" s="6" t="s">
        <v>417</v>
      </c>
    </row>
    <row r="937" spans="1:27" s="4" customFormat="1" ht="42" customHeight="1">
      <c r="A937" s="5">
        <v>0</v>
      </c>
      <c r="B937" s="6" t="s">
        <v>5157</v>
      </c>
      <c r="C937" s="13">
        <v>684</v>
      </c>
      <c r="D937" s="8" t="s">
        <v>5158</v>
      </c>
      <c r="E937" s="8" t="s">
        <v>5159</v>
      </c>
      <c r="F937" s="8" t="s">
        <v>4840</v>
      </c>
      <c r="G937" s="6" t="s">
        <v>51</v>
      </c>
      <c r="H937" s="6" t="s">
        <v>84</v>
      </c>
      <c r="I937" s="8" t="s">
        <v>85</v>
      </c>
      <c r="J937" s="9">
        <v>1</v>
      </c>
      <c r="K937" s="9">
        <v>160</v>
      </c>
      <c r="L937" s="9">
        <v>2020</v>
      </c>
      <c r="M937" s="8" t="s">
        <v>5160</v>
      </c>
      <c r="N937" s="8" t="s">
        <v>40</v>
      </c>
      <c r="O937" s="8" t="s">
        <v>41</v>
      </c>
      <c r="P937" s="6" t="s">
        <v>42</v>
      </c>
      <c r="Q937" s="8" t="s">
        <v>43</v>
      </c>
      <c r="R937" s="10" t="s">
        <v>5161</v>
      </c>
      <c r="S937" s="11"/>
      <c r="T937" s="6"/>
      <c r="U937" s="28" t="str">
        <f>HYPERLINK("https://media.infra-m.ru/1094/1094518/cover/1094518.jpg", "Обложка")</f>
        <v>Обложка</v>
      </c>
      <c r="V937" s="28" t="str">
        <f>HYPERLINK("https://znanium.ru/catalog/product/1094518", "Ознакомиться")</f>
        <v>Ознакомиться</v>
      </c>
      <c r="W937" s="8" t="s">
        <v>45</v>
      </c>
      <c r="X937" s="6"/>
      <c r="Y937" s="6"/>
      <c r="Z937" s="6"/>
      <c r="AA937" s="6" t="s">
        <v>88</v>
      </c>
    </row>
    <row r="938" spans="1:27" s="4" customFormat="1" ht="51.95" customHeight="1">
      <c r="A938" s="5">
        <v>0</v>
      </c>
      <c r="B938" s="6" t="s">
        <v>5162</v>
      </c>
      <c r="C938" s="7">
        <v>1187.9000000000001</v>
      </c>
      <c r="D938" s="8" t="s">
        <v>5163</v>
      </c>
      <c r="E938" s="8" t="s">
        <v>5164</v>
      </c>
      <c r="F938" s="8" t="s">
        <v>5165</v>
      </c>
      <c r="G938" s="6" t="s">
        <v>58</v>
      </c>
      <c r="H938" s="6" t="s">
        <v>38</v>
      </c>
      <c r="I938" s="8"/>
      <c r="J938" s="9">
        <v>1</v>
      </c>
      <c r="K938" s="9">
        <v>284</v>
      </c>
      <c r="L938" s="9">
        <v>2019</v>
      </c>
      <c r="M938" s="8" t="s">
        <v>5166</v>
      </c>
      <c r="N938" s="8" t="s">
        <v>40</v>
      </c>
      <c r="O938" s="8" t="s">
        <v>41</v>
      </c>
      <c r="P938" s="6" t="s">
        <v>95</v>
      </c>
      <c r="Q938" s="8" t="s">
        <v>157</v>
      </c>
      <c r="R938" s="10" t="s">
        <v>5167</v>
      </c>
      <c r="S938" s="11"/>
      <c r="T938" s="6"/>
      <c r="U938" s="28" t="str">
        <f>HYPERLINK("https://media.infra-m.ru/0999/0999981/cover/999981.jpg", "Обложка")</f>
        <v>Обложка</v>
      </c>
      <c r="V938" s="28" t="str">
        <f>HYPERLINK("https://znanium.ru/catalog/product/987803", "Ознакомиться")</f>
        <v>Ознакомиться</v>
      </c>
      <c r="W938" s="8" t="s">
        <v>1524</v>
      </c>
      <c r="X938" s="6"/>
      <c r="Y938" s="6"/>
      <c r="Z938" s="6"/>
      <c r="AA938" s="6" t="s">
        <v>79</v>
      </c>
    </row>
    <row r="939" spans="1:27" s="4" customFormat="1" ht="51.95" customHeight="1">
      <c r="A939" s="5">
        <v>0</v>
      </c>
      <c r="B939" s="6" t="s">
        <v>5168</v>
      </c>
      <c r="C939" s="13">
        <v>359.9</v>
      </c>
      <c r="D939" s="8" t="s">
        <v>5169</v>
      </c>
      <c r="E939" s="8" t="s">
        <v>5170</v>
      </c>
      <c r="F939" s="8" t="s">
        <v>5171</v>
      </c>
      <c r="G939" s="6" t="s">
        <v>26</v>
      </c>
      <c r="H939" s="6" t="s">
        <v>52</v>
      </c>
      <c r="I939" s="8" t="s">
        <v>250</v>
      </c>
      <c r="J939" s="9">
        <v>20</v>
      </c>
      <c r="K939" s="9">
        <v>160</v>
      </c>
      <c r="L939" s="9">
        <v>2015</v>
      </c>
      <c r="M939" s="8" t="s">
        <v>5172</v>
      </c>
      <c r="N939" s="8" t="s">
        <v>40</v>
      </c>
      <c r="O939" s="8" t="s">
        <v>41</v>
      </c>
      <c r="P939" s="6" t="s">
        <v>42</v>
      </c>
      <c r="Q939" s="8" t="s">
        <v>300</v>
      </c>
      <c r="R939" s="10" t="s">
        <v>5173</v>
      </c>
      <c r="S939" s="11"/>
      <c r="T939" s="6"/>
      <c r="U939" s="12"/>
      <c r="V939" s="28" t="str">
        <f>HYPERLINK("https://znanium.ru/catalog/product/926863", "Ознакомиться")</f>
        <v>Ознакомиться</v>
      </c>
      <c r="W939" s="8" t="s">
        <v>45</v>
      </c>
      <c r="X939" s="6"/>
      <c r="Y939" s="6"/>
      <c r="Z939" s="6"/>
      <c r="AA939" s="6" t="s">
        <v>302</v>
      </c>
    </row>
    <row r="940" spans="1:27" s="4" customFormat="1" ht="51.95" customHeight="1">
      <c r="A940" s="5">
        <v>0</v>
      </c>
      <c r="B940" s="6" t="s">
        <v>5174</v>
      </c>
      <c r="C940" s="13">
        <v>900</v>
      </c>
      <c r="D940" s="8" t="s">
        <v>5175</v>
      </c>
      <c r="E940" s="8" t="s">
        <v>5176</v>
      </c>
      <c r="F940" s="8" t="s">
        <v>5177</v>
      </c>
      <c r="G940" s="6" t="s">
        <v>51</v>
      </c>
      <c r="H940" s="6" t="s">
        <v>84</v>
      </c>
      <c r="I940" s="8" t="s">
        <v>250</v>
      </c>
      <c r="J940" s="9">
        <v>1</v>
      </c>
      <c r="K940" s="9">
        <v>156</v>
      </c>
      <c r="L940" s="9">
        <v>2024</v>
      </c>
      <c r="M940" s="8" t="s">
        <v>5178</v>
      </c>
      <c r="N940" s="8" t="s">
        <v>40</v>
      </c>
      <c r="O940" s="8" t="s">
        <v>41</v>
      </c>
      <c r="P940" s="6" t="s">
        <v>42</v>
      </c>
      <c r="Q940" s="8" t="s">
        <v>43</v>
      </c>
      <c r="R940" s="10" t="s">
        <v>469</v>
      </c>
      <c r="S940" s="11"/>
      <c r="T940" s="6"/>
      <c r="U940" s="28" t="str">
        <f>HYPERLINK("https://media.infra-m.ru/2095/2095601/cover/2095601.jpg", "Обложка")</f>
        <v>Обложка</v>
      </c>
      <c r="V940" s="28" t="str">
        <f>HYPERLINK("https://znanium.ru/catalog/product/2095601", "Ознакомиться")</f>
        <v>Ознакомиться</v>
      </c>
      <c r="W940" s="8" t="s">
        <v>5179</v>
      </c>
      <c r="X940" s="6"/>
      <c r="Y940" s="6"/>
      <c r="Z940" s="6"/>
      <c r="AA940" s="6" t="s">
        <v>46</v>
      </c>
    </row>
    <row r="941" spans="1:27" s="4" customFormat="1" ht="51.95" customHeight="1">
      <c r="A941" s="5">
        <v>0</v>
      </c>
      <c r="B941" s="6" t="s">
        <v>5180</v>
      </c>
      <c r="C941" s="7">
        <v>1092</v>
      </c>
      <c r="D941" s="8" t="s">
        <v>5181</v>
      </c>
      <c r="E941" s="8" t="s">
        <v>5182</v>
      </c>
      <c r="F941" s="8" t="s">
        <v>5183</v>
      </c>
      <c r="G941" s="6" t="s">
        <v>51</v>
      </c>
      <c r="H941" s="6" t="s">
        <v>84</v>
      </c>
      <c r="I941" s="8" t="s">
        <v>250</v>
      </c>
      <c r="J941" s="9">
        <v>1</v>
      </c>
      <c r="K941" s="9">
        <v>197</v>
      </c>
      <c r="L941" s="9">
        <v>2024</v>
      </c>
      <c r="M941" s="8" t="s">
        <v>5184</v>
      </c>
      <c r="N941" s="8" t="s">
        <v>40</v>
      </c>
      <c r="O941" s="8" t="s">
        <v>41</v>
      </c>
      <c r="P941" s="6" t="s">
        <v>42</v>
      </c>
      <c r="Q941" s="8" t="s">
        <v>43</v>
      </c>
      <c r="R941" s="10" t="s">
        <v>5185</v>
      </c>
      <c r="S941" s="11"/>
      <c r="T941" s="6"/>
      <c r="U941" s="28" t="str">
        <f>HYPERLINK("https://media.infra-m.ru/1981/1981688/cover/1981688.jpg", "Обложка")</f>
        <v>Обложка</v>
      </c>
      <c r="V941" s="28" t="str">
        <f>HYPERLINK("https://znanium.ru/catalog/product/1981688", "Ознакомиться")</f>
        <v>Ознакомиться</v>
      </c>
      <c r="W941" s="8" t="s">
        <v>5186</v>
      </c>
      <c r="X941" s="6" t="s">
        <v>391</v>
      </c>
      <c r="Y941" s="6"/>
      <c r="Z941" s="6"/>
      <c r="AA941" s="6" t="s">
        <v>100</v>
      </c>
    </row>
    <row r="942" spans="1:27" s="4" customFormat="1" ht="51.95" customHeight="1">
      <c r="A942" s="5">
        <v>0</v>
      </c>
      <c r="B942" s="6" t="s">
        <v>5187</v>
      </c>
      <c r="C942" s="7">
        <v>1372.8</v>
      </c>
      <c r="D942" s="8" t="s">
        <v>5188</v>
      </c>
      <c r="E942" s="8" t="s">
        <v>5189</v>
      </c>
      <c r="F942" s="8" t="s">
        <v>5190</v>
      </c>
      <c r="G942" s="6" t="s">
        <v>37</v>
      </c>
      <c r="H942" s="6" t="s">
        <v>38</v>
      </c>
      <c r="I942" s="8"/>
      <c r="J942" s="9">
        <v>1</v>
      </c>
      <c r="K942" s="9">
        <v>248</v>
      </c>
      <c r="L942" s="9">
        <v>2024</v>
      </c>
      <c r="M942" s="8" t="s">
        <v>5191</v>
      </c>
      <c r="N942" s="8" t="s">
        <v>40</v>
      </c>
      <c r="O942" s="8" t="s">
        <v>41</v>
      </c>
      <c r="P942" s="6" t="s">
        <v>42</v>
      </c>
      <c r="Q942" s="8" t="s">
        <v>43</v>
      </c>
      <c r="R942" s="10" t="s">
        <v>496</v>
      </c>
      <c r="S942" s="11"/>
      <c r="T942" s="6"/>
      <c r="U942" s="28" t="str">
        <f>HYPERLINK("https://media.infra-m.ru/2126/2126552/cover/2126552.jpg", "Обложка")</f>
        <v>Обложка</v>
      </c>
      <c r="V942" s="28" t="str">
        <f>HYPERLINK("https://znanium.ru/catalog/product/1911600", "Ознакомиться")</f>
        <v>Ознакомиться</v>
      </c>
      <c r="W942" s="8"/>
      <c r="X942" s="6"/>
      <c r="Y942" s="6"/>
      <c r="Z942" s="6"/>
      <c r="AA942" s="6" t="s">
        <v>417</v>
      </c>
    </row>
    <row r="943" spans="1:27" s="4" customFormat="1" ht="44.1" customHeight="1">
      <c r="A943" s="5">
        <v>0</v>
      </c>
      <c r="B943" s="6" t="s">
        <v>5192</v>
      </c>
      <c r="C943" s="7">
        <v>1073.9000000000001</v>
      </c>
      <c r="D943" s="8" t="s">
        <v>5193</v>
      </c>
      <c r="E943" s="8" t="s">
        <v>5194</v>
      </c>
      <c r="F943" s="8" t="s">
        <v>5195</v>
      </c>
      <c r="G943" s="6" t="s">
        <v>51</v>
      </c>
      <c r="H943" s="6" t="s">
        <v>38</v>
      </c>
      <c r="I943" s="8"/>
      <c r="J943" s="9">
        <v>1</v>
      </c>
      <c r="K943" s="9">
        <v>288</v>
      </c>
      <c r="L943" s="9">
        <v>2017</v>
      </c>
      <c r="M943" s="8" t="s">
        <v>5196</v>
      </c>
      <c r="N943" s="8" t="s">
        <v>40</v>
      </c>
      <c r="O943" s="8" t="s">
        <v>41</v>
      </c>
      <c r="P943" s="6" t="s">
        <v>42</v>
      </c>
      <c r="Q943" s="8" t="s">
        <v>300</v>
      </c>
      <c r="R943" s="10" t="s">
        <v>806</v>
      </c>
      <c r="S943" s="11"/>
      <c r="T943" s="6"/>
      <c r="U943" s="28" t="str">
        <f>HYPERLINK("https://media.infra-m.ru/0883/0883950/cover/883950.jpg", "Обложка")</f>
        <v>Обложка</v>
      </c>
      <c r="V943" s="28" t="str">
        <f>HYPERLINK("https://znanium.ru/catalog/product/486169", "Ознакомиться")</f>
        <v>Ознакомиться</v>
      </c>
      <c r="W943" s="8" t="s">
        <v>1122</v>
      </c>
      <c r="X943" s="6"/>
      <c r="Y943" s="6"/>
      <c r="Z943" s="6"/>
      <c r="AA943" s="6" t="s">
        <v>431</v>
      </c>
    </row>
    <row r="944" spans="1:27" s="4" customFormat="1" ht="42" customHeight="1">
      <c r="A944" s="5">
        <v>0</v>
      </c>
      <c r="B944" s="6" t="s">
        <v>5197</v>
      </c>
      <c r="C944" s="7">
        <v>1764</v>
      </c>
      <c r="D944" s="8" t="s">
        <v>5198</v>
      </c>
      <c r="E944" s="8" t="s">
        <v>5199</v>
      </c>
      <c r="F944" s="8" t="s">
        <v>5200</v>
      </c>
      <c r="G944" s="6" t="s">
        <v>58</v>
      </c>
      <c r="H944" s="6" t="s">
        <v>84</v>
      </c>
      <c r="I944" s="8" t="s">
        <v>1173</v>
      </c>
      <c r="J944" s="9">
        <v>1</v>
      </c>
      <c r="K944" s="9">
        <v>298</v>
      </c>
      <c r="L944" s="9">
        <v>2024</v>
      </c>
      <c r="M944" s="8" t="s">
        <v>5201</v>
      </c>
      <c r="N944" s="8" t="s">
        <v>40</v>
      </c>
      <c r="O944" s="8" t="s">
        <v>41</v>
      </c>
      <c r="P944" s="6" t="s">
        <v>95</v>
      </c>
      <c r="Q944" s="8" t="s">
        <v>1231</v>
      </c>
      <c r="R944" s="10" t="s">
        <v>5202</v>
      </c>
      <c r="S944" s="11"/>
      <c r="T944" s="6"/>
      <c r="U944" s="28" t="str">
        <f>HYPERLINK("https://media.infra-m.ru/1900/1900590/cover/1900590.jpg", "Обложка")</f>
        <v>Обложка</v>
      </c>
      <c r="V944" s="28" t="str">
        <f>HYPERLINK("https://znanium.ru/catalog/product/1900590", "Ознакомиться")</f>
        <v>Ознакомиться</v>
      </c>
      <c r="W944" s="8" t="s">
        <v>1279</v>
      </c>
      <c r="X944" s="6" t="s">
        <v>3280</v>
      </c>
      <c r="Y944" s="6"/>
      <c r="Z944" s="6"/>
      <c r="AA944" s="6" t="s">
        <v>100</v>
      </c>
    </row>
    <row r="945" spans="1:27" s="4" customFormat="1" ht="42" customHeight="1">
      <c r="A945" s="5">
        <v>0</v>
      </c>
      <c r="B945" s="6" t="s">
        <v>5203</v>
      </c>
      <c r="C945" s="7">
        <v>1056</v>
      </c>
      <c r="D945" s="8" t="s">
        <v>5204</v>
      </c>
      <c r="E945" s="8" t="s">
        <v>5205</v>
      </c>
      <c r="F945" s="8" t="s">
        <v>5206</v>
      </c>
      <c r="G945" s="6" t="s">
        <v>51</v>
      </c>
      <c r="H945" s="6" t="s">
        <v>84</v>
      </c>
      <c r="I945" s="8" t="s">
        <v>250</v>
      </c>
      <c r="J945" s="9">
        <v>1</v>
      </c>
      <c r="K945" s="9">
        <v>178</v>
      </c>
      <c r="L945" s="9">
        <v>2023</v>
      </c>
      <c r="M945" s="8" t="s">
        <v>5207</v>
      </c>
      <c r="N945" s="8" t="s">
        <v>40</v>
      </c>
      <c r="O945" s="8" t="s">
        <v>41</v>
      </c>
      <c r="P945" s="6" t="s">
        <v>42</v>
      </c>
      <c r="Q945" s="8" t="s">
        <v>43</v>
      </c>
      <c r="R945" s="10" t="s">
        <v>5208</v>
      </c>
      <c r="S945" s="11"/>
      <c r="T945" s="6"/>
      <c r="U945" s="28" t="str">
        <f>HYPERLINK("https://media.infra-m.ru/2125/2125437/cover/2125437.jpg", "Обложка")</f>
        <v>Обложка</v>
      </c>
      <c r="V945" s="28" t="str">
        <f>HYPERLINK("https://znanium.ru/catalog/product/1910639", "Ознакомиться")</f>
        <v>Ознакомиться</v>
      </c>
      <c r="W945" s="8"/>
      <c r="X945" s="6"/>
      <c r="Y945" s="6"/>
      <c r="Z945" s="6"/>
      <c r="AA945" s="6" t="s">
        <v>417</v>
      </c>
    </row>
    <row r="946" spans="1:27" s="4" customFormat="1" ht="42" customHeight="1">
      <c r="A946" s="5">
        <v>0</v>
      </c>
      <c r="B946" s="6" t="s">
        <v>5209</v>
      </c>
      <c r="C946" s="7">
        <v>1464</v>
      </c>
      <c r="D946" s="8" t="s">
        <v>5210</v>
      </c>
      <c r="E946" s="8" t="s">
        <v>5211</v>
      </c>
      <c r="F946" s="8" t="s">
        <v>5212</v>
      </c>
      <c r="G946" s="6" t="s">
        <v>37</v>
      </c>
      <c r="H946" s="6" t="s">
        <v>38</v>
      </c>
      <c r="I946" s="8"/>
      <c r="J946" s="9">
        <v>1</v>
      </c>
      <c r="K946" s="9">
        <v>264</v>
      </c>
      <c r="L946" s="9">
        <v>2024</v>
      </c>
      <c r="M946" s="8" t="s">
        <v>5213</v>
      </c>
      <c r="N946" s="8" t="s">
        <v>40</v>
      </c>
      <c r="O946" s="8" t="s">
        <v>41</v>
      </c>
      <c r="P946" s="6" t="s">
        <v>42</v>
      </c>
      <c r="Q946" s="8" t="s">
        <v>43</v>
      </c>
      <c r="R946" s="10" t="s">
        <v>1376</v>
      </c>
      <c r="S946" s="11"/>
      <c r="T946" s="6"/>
      <c r="U946" s="28" t="str">
        <f>HYPERLINK("https://media.infra-m.ru/2122/2122972/cover/2122972.jpg", "Обложка")</f>
        <v>Обложка</v>
      </c>
      <c r="V946" s="28" t="str">
        <f>HYPERLINK("https://znanium.ru/catalog/product/2122972", "Ознакомиться")</f>
        <v>Ознакомиться</v>
      </c>
      <c r="W946" s="8" t="s">
        <v>78</v>
      </c>
      <c r="X946" s="6"/>
      <c r="Y946" s="6"/>
      <c r="Z946" s="6"/>
      <c r="AA946" s="6" t="s">
        <v>115</v>
      </c>
    </row>
    <row r="947" spans="1:27" s="4" customFormat="1" ht="42" customHeight="1">
      <c r="A947" s="5">
        <v>0</v>
      </c>
      <c r="B947" s="6" t="s">
        <v>5214</v>
      </c>
      <c r="C947" s="7">
        <v>1121.9000000000001</v>
      </c>
      <c r="D947" s="8" t="s">
        <v>5215</v>
      </c>
      <c r="E947" s="8" t="s">
        <v>5216</v>
      </c>
      <c r="F947" s="8" t="s">
        <v>5217</v>
      </c>
      <c r="G947" s="6" t="s">
        <v>51</v>
      </c>
      <c r="H947" s="6" t="s">
        <v>84</v>
      </c>
      <c r="I947" s="8" t="s">
        <v>250</v>
      </c>
      <c r="J947" s="9">
        <v>1</v>
      </c>
      <c r="K947" s="9">
        <v>207</v>
      </c>
      <c r="L947" s="9">
        <v>2023</v>
      </c>
      <c r="M947" s="8" t="s">
        <v>5218</v>
      </c>
      <c r="N947" s="8" t="s">
        <v>40</v>
      </c>
      <c r="O947" s="8" t="s">
        <v>41</v>
      </c>
      <c r="P947" s="6" t="s">
        <v>42</v>
      </c>
      <c r="Q947" s="8" t="s">
        <v>43</v>
      </c>
      <c r="R947" s="10" t="s">
        <v>1376</v>
      </c>
      <c r="S947" s="11"/>
      <c r="T947" s="6"/>
      <c r="U947" s="28" t="str">
        <f>HYPERLINK("https://media.infra-m.ru/2030/2030889/cover/2030889.jpg", "Обложка")</f>
        <v>Обложка</v>
      </c>
      <c r="V947" s="28" t="str">
        <f>HYPERLINK("https://znanium.ru/catalog/product/1004280", "Ознакомиться")</f>
        <v>Ознакомиться</v>
      </c>
      <c r="W947" s="8" t="s">
        <v>114</v>
      </c>
      <c r="X947" s="6"/>
      <c r="Y947" s="6"/>
      <c r="Z947" s="6"/>
      <c r="AA947" s="6" t="s">
        <v>115</v>
      </c>
    </row>
    <row r="948" spans="1:27" s="4" customFormat="1" ht="42" customHeight="1">
      <c r="A948" s="5">
        <v>0</v>
      </c>
      <c r="B948" s="6" t="s">
        <v>5219</v>
      </c>
      <c r="C948" s="7">
        <v>1596</v>
      </c>
      <c r="D948" s="8" t="s">
        <v>5220</v>
      </c>
      <c r="E948" s="8" t="s">
        <v>5221</v>
      </c>
      <c r="F948" s="8" t="s">
        <v>5222</v>
      </c>
      <c r="G948" s="6" t="s">
        <v>51</v>
      </c>
      <c r="H948" s="6" t="s">
        <v>84</v>
      </c>
      <c r="I948" s="8" t="s">
        <v>85</v>
      </c>
      <c r="J948" s="9">
        <v>1</v>
      </c>
      <c r="K948" s="9">
        <v>280</v>
      </c>
      <c r="L948" s="9">
        <v>2023</v>
      </c>
      <c r="M948" s="8" t="s">
        <v>5223</v>
      </c>
      <c r="N948" s="8" t="s">
        <v>40</v>
      </c>
      <c r="O948" s="8" t="s">
        <v>41</v>
      </c>
      <c r="P948" s="6" t="s">
        <v>42</v>
      </c>
      <c r="Q948" s="8" t="s">
        <v>43</v>
      </c>
      <c r="R948" s="10" t="s">
        <v>69</v>
      </c>
      <c r="S948" s="11"/>
      <c r="T948" s="6"/>
      <c r="U948" s="28" t="str">
        <f>HYPERLINK("https://media.infra-m.ru/1898/1898829/cover/1898829.jpg", "Обложка")</f>
        <v>Обложка</v>
      </c>
      <c r="V948" s="28" t="str">
        <f>HYPERLINK("https://znanium.ru/catalog/product/1081881", "Ознакомиться")</f>
        <v>Ознакомиться</v>
      </c>
      <c r="W948" s="8" t="s">
        <v>45</v>
      </c>
      <c r="X948" s="6"/>
      <c r="Y948" s="6"/>
      <c r="Z948" s="6"/>
      <c r="AA948" s="6" t="s">
        <v>431</v>
      </c>
    </row>
    <row r="949" spans="1:27" s="4" customFormat="1" ht="42" customHeight="1">
      <c r="A949" s="5">
        <v>0</v>
      </c>
      <c r="B949" s="6" t="s">
        <v>5224</v>
      </c>
      <c r="C949" s="7">
        <v>1673.9</v>
      </c>
      <c r="D949" s="8" t="s">
        <v>5225</v>
      </c>
      <c r="E949" s="8" t="s">
        <v>5226</v>
      </c>
      <c r="F949" s="8" t="s">
        <v>5227</v>
      </c>
      <c r="G949" s="6" t="s">
        <v>58</v>
      </c>
      <c r="H949" s="6" t="s">
        <v>84</v>
      </c>
      <c r="I949" s="8" t="s">
        <v>250</v>
      </c>
      <c r="J949" s="9">
        <v>1</v>
      </c>
      <c r="K949" s="9">
        <v>309</v>
      </c>
      <c r="L949" s="9">
        <v>2023</v>
      </c>
      <c r="M949" s="8" t="s">
        <v>5228</v>
      </c>
      <c r="N949" s="8" t="s">
        <v>40</v>
      </c>
      <c r="O949" s="8" t="s">
        <v>41</v>
      </c>
      <c r="P949" s="6" t="s">
        <v>42</v>
      </c>
      <c r="Q949" s="8" t="s">
        <v>43</v>
      </c>
      <c r="R949" s="10" t="s">
        <v>69</v>
      </c>
      <c r="S949" s="11"/>
      <c r="T949" s="6"/>
      <c r="U949" s="28" t="str">
        <f>HYPERLINK("https://media.infra-m.ru/2030/2030881/cover/2030881.jpg", "Обложка")</f>
        <v>Обложка</v>
      </c>
      <c r="V949" s="28" t="str">
        <f>HYPERLINK("https://znanium.ru/catalog/product/1150954", "Ознакомиться")</f>
        <v>Ознакомиться</v>
      </c>
      <c r="W949" s="8" t="s">
        <v>124</v>
      </c>
      <c r="X949" s="6"/>
      <c r="Y949" s="6"/>
      <c r="Z949" s="6"/>
      <c r="AA949" s="6" t="s">
        <v>79</v>
      </c>
    </row>
    <row r="950" spans="1:27" s="4" customFormat="1" ht="44.1" customHeight="1">
      <c r="A950" s="5">
        <v>0</v>
      </c>
      <c r="B950" s="6" t="s">
        <v>5229</v>
      </c>
      <c r="C950" s="13">
        <v>401.9</v>
      </c>
      <c r="D950" s="8" t="s">
        <v>5230</v>
      </c>
      <c r="E950" s="8" t="s">
        <v>5231</v>
      </c>
      <c r="F950" s="8" t="s">
        <v>5232</v>
      </c>
      <c r="G950" s="6" t="s">
        <v>51</v>
      </c>
      <c r="H950" s="6" t="s">
        <v>38</v>
      </c>
      <c r="I950" s="8"/>
      <c r="J950" s="9">
        <v>1</v>
      </c>
      <c r="K950" s="9">
        <v>96</v>
      </c>
      <c r="L950" s="9">
        <v>2019</v>
      </c>
      <c r="M950" s="8" t="s">
        <v>5233</v>
      </c>
      <c r="N950" s="8" t="s">
        <v>40</v>
      </c>
      <c r="O950" s="8" t="s">
        <v>41</v>
      </c>
      <c r="P950" s="6" t="s">
        <v>42</v>
      </c>
      <c r="Q950" s="8" t="s">
        <v>300</v>
      </c>
      <c r="R950" s="10" t="s">
        <v>308</v>
      </c>
      <c r="S950" s="11"/>
      <c r="T950" s="6"/>
      <c r="U950" s="28" t="str">
        <f>HYPERLINK("https://media.infra-m.ru/0990/0990408/cover/990408.jpg", "Обложка")</f>
        <v>Обложка</v>
      </c>
      <c r="V950" s="28" t="str">
        <f>HYPERLINK("https://znanium.ru/catalog/product/990408", "Ознакомиться")</f>
        <v>Ознакомиться</v>
      </c>
      <c r="W950" s="8" t="s">
        <v>3432</v>
      </c>
      <c r="X950" s="6"/>
      <c r="Y950" s="6"/>
      <c r="Z950" s="6"/>
      <c r="AA950" s="6" t="s">
        <v>88</v>
      </c>
    </row>
    <row r="951" spans="1:27" s="4" customFormat="1" ht="51.95" customHeight="1">
      <c r="A951" s="5">
        <v>0</v>
      </c>
      <c r="B951" s="6" t="s">
        <v>5234</v>
      </c>
      <c r="C951" s="13">
        <v>953.9</v>
      </c>
      <c r="D951" s="8" t="s">
        <v>5235</v>
      </c>
      <c r="E951" s="8" t="s">
        <v>5236</v>
      </c>
      <c r="F951" s="8" t="s">
        <v>5237</v>
      </c>
      <c r="G951" s="6" t="s">
        <v>51</v>
      </c>
      <c r="H951" s="6" t="s">
        <v>84</v>
      </c>
      <c r="I951" s="8" t="s">
        <v>250</v>
      </c>
      <c r="J951" s="9">
        <v>1</v>
      </c>
      <c r="K951" s="9">
        <v>177</v>
      </c>
      <c r="L951" s="9">
        <v>2023</v>
      </c>
      <c r="M951" s="8" t="s">
        <v>5238</v>
      </c>
      <c r="N951" s="8" t="s">
        <v>40</v>
      </c>
      <c r="O951" s="8" t="s">
        <v>41</v>
      </c>
      <c r="P951" s="6" t="s">
        <v>42</v>
      </c>
      <c r="Q951" s="8" t="s">
        <v>43</v>
      </c>
      <c r="R951" s="10" t="s">
        <v>5239</v>
      </c>
      <c r="S951" s="11"/>
      <c r="T951" s="6"/>
      <c r="U951" s="28" t="str">
        <f>HYPERLINK("https://media.infra-m.ru/2006/2006945/cover/2006945.jpg", "Обложка")</f>
        <v>Обложка</v>
      </c>
      <c r="V951" s="28" t="str">
        <f>HYPERLINK("https://znanium.ru/catalog/product/1068173", "Ознакомиться")</f>
        <v>Ознакомиться</v>
      </c>
      <c r="W951" s="8" t="s">
        <v>385</v>
      </c>
      <c r="X951" s="6"/>
      <c r="Y951" s="6"/>
      <c r="Z951" s="6"/>
      <c r="AA951" s="6" t="s">
        <v>79</v>
      </c>
    </row>
    <row r="952" spans="1:27" s="4" customFormat="1" ht="51.95" customHeight="1">
      <c r="A952" s="5">
        <v>0</v>
      </c>
      <c r="B952" s="6" t="s">
        <v>5240</v>
      </c>
      <c r="C952" s="7">
        <v>1180.8</v>
      </c>
      <c r="D952" s="8" t="s">
        <v>5241</v>
      </c>
      <c r="E952" s="8" t="s">
        <v>5242</v>
      </c>
      <c r="F952" s="8" t="s">
        <v>4085</v>
      </c>
      <c r="G952" s="6" t="s">
        <v>37</v>
      </c>
      <c r="H952" s="6" t="s">
        <v>38</v>
      </c>
      <c r="I952" s="8"/>
      <c r="J952" s="9">
        <v>1</v>
      </c>
      <c r="K952" s="9">
        <v>208</v>
      </c>
      <c r="L952" s="9">
        <v>2024</v>
      </c>
      <c r="M952" s="8" t="s">
        <v>5243</v>
      </c>
      <c r="N952" s="8" t="s">
        <v>40</v>
      </c>
      <c r="O952" s="8" t="s">
        <v>41</v>
      </c>
      <c r="P952" s="6" t="s">
        <v>75</v>
      </c>
      <c r="Q952" s="8" t="s">
        <v>76</v>
      </c>
      <c r="R952" s="10" t="s">
        <v>234</v>
      </c>
      <c r="S952" s="11" t="s">
        <v>5244</v>
      </c>
      <c r="T952" s="6"/>
      <c r="U952" s="28" t="str">
        <f>HYPERLINK("https://media.infra-m.ru/2124/2124757/cover/2124757.jpg", "Обложка")</f>
        <v>Обложка</v>
      </c>
      <c r="V952" s="28" t="str">
        <f>HYPERLINK("https://znanium.ru/catalog/product/2018257", "Ознакомиться")</f>
        <v>Ознакомиться</v>
      </c>
      <c r="W952" s="8" t="s">
        <v>4087</v>
      </c>
      <c r="X952" s="6"/>
      <c r="Y952" s="6"/>
      <c r="Z952" s="6"/>
      <c r="AA952" s="6" t="s">
        <v>1259</v>
      </c>
    </row>
    <row r="953" spans="1:27" s="4" customFormat="1" ht="51.95" customHeight="1">
      <c r="A953" s="5">
        <v>0</v>
      </c>
      <c r="B953" s="6" t="s">
        <v>5245</v>
      </c>
      <c r="C953" s="13">
        <v>804</v>
      </c>
      <c r="D953" s="8" t="s">
        <v>5246</v>
      </c>
      <c r="E953" s="8" t="s">
        <v>5247</v>
      </c>
      <c r="F953" s="8" t="s">
        <v>4085</v>
      </c>
      <c r="G953" s="6" t="s">
        <v>51</v>
      </c>
      <c r="H953" s="6" t="s">
        <v>38</v>
      </c>
      <c r="I953" s="8"/>
      <c r="J953" s="9">
        <v>1</v>
      </c>
      <c r="K953" s="9">
        <v>208</v>
      </c>
      <c r="L953" s="9">
        <v>2018</v>
      </c>
      <c r="M953" s="8" t="s">
        <v>5248</v>
      </c>
      <c r="N953" s="8" t="s">
        <v>40</v>
      </c>
      <c r="O953" s="8" t="s">
        <v>41</v>
      </c>
      <c r="P953" s="6" t="s">
        <v>75</v>
      </c>
      <c r="Q953" s="8" t="s">
        <v>76</v>
      </c>
      <c r="R953" s="10" t="s">
        <v>234</v>
      </c>
      <c r="S953" s="11" t="s">
        <v>5244</v>
      </c>
      <c r="T953" s="6"/>
      <c r="U953" s="28" t="str">
        <f>HYPERLINK("https://media.infra-m.ru/1029/1029221/cover/1029221.jpg", "Обложка")</f>
        <v>Обложка</v>
      </c>
      <c r="V953" s="28" t="str">
        <f>HYPERLINK("https://znanium.ru/catalog/product/2018257", "Ознакомиться")</f>
        <v>Ознакомиться</v>
      </c>
      <c r="W953" s="8" t="s">
        <v>4087</v>
      </c>
      <c r="X953" s="6"/>
      <c r="Y953" s="6"/>
      <c r="Z953" s="6"/>
      <c r="AA953" s="6" t="s">
        <v>2626</v>
      </c>
    </row>
    <row r="954" spans="1:27" s="4" customFormat="1" ht="42" customHeight="1">
      <c r="A954" s="5">
        <v>0</v>
      </c>
      <c r="B954" s="6" t="s">
        <v>5249</v>
      </c>
      <c r="C954" s="7">
        <v>1032</v>
      </c>
      <c r="D954" s="8" t="s">
        <v>5250</v>
      </c>
      <c r="E954" s="8" t="s">
        <v>5251</v>
      </c>
      <c r="F954" s="8" t="s">
        <v>5252</v>
      </c>
      <c r="G954" s="6" t="s">
        <v>58</v>
      </c>
      <c r="H954" s="6" t="s">
        <v>84</v>
      </c>
      <c r="I954" s="8" t="s">
        <v>250</v>
      </c>
      <c r="J954" s="14">
        <v>0</v>
      </c>
      <c r="K954" s="9">
        <v>252</v>
      </c>
      <c r="L954" s="9">
        <v>2019</v>
      </c>
      <c r="M954" s="8" t="s">
        <v>5253</v>
      </c>
      <c r="N954" s="8" t="s">
        <v>40</v>
      </c>
      <c r="O954" s="8" t="s">
        <v>41</v>
      </c>
      <c r="P954" s="6" t="s">
        <v>42</v>
      </c>
      <c r="Q954" s="8" t="s">
        <v>43</v>
      </c>
      <c r="R954" s="10" t="s">
        <v>5254</v>
      </c>
      <c r="S954" s="11"/>
      <c r="T954" s="6"/>
      <c r="U954" s="28" t="str">
        <f>HYPERLINK("https://media.infra-m.ru/0993/0993455/cover/993455.jpg", "Обложка")</f>
        <v>Обложка</v>
      </c>
      <c r="V954" s="28" t="str">
        <f>HYPERLINK("https://znanium.ru/catalog/product/993455", "Ознакомиться")</f>
        <v>Ознакомиться</v>
      </c>
      <c r="W954" s="8" t="s">
        <v>107</v>
      </c>
      <c r="X954" s="6"/>
      <c r="Y954" s="6"/>
      <c r="Z954" s="6"/>
      <c r="AA954" s="6" t="s">
        <v>79</v>
      </c>
    </row>
    <row r="955" spans="1:27" s="4" customFormat="1" ht="51.95" customHeight="1">
      <c r="A955" s="5">
        <v>0</v>
      </c>
      <c r="B955" s="6" t="s">
        <v>5255</v>
      </c>
      <c r="C955" s="7">
        <v>1080</v>
      </c>
      <c r="D955" s="8" t="s">
        <v>5256</v>
      </c>
      <c r="E955" s="8" t="s">
        <v>5257</v>
      </c>
      <c r="F955" s="8" t="s">
        <v>5258</v>
      </c>
      <c r="G955" s="6" t="s">
        <v>37</v>
      </c>
      <c r="H955" s="6" t="s">
        <v>5259</v>
      </c>
      <c r="I955" s="8" t="s">
        <v>5260</v>
      </c>
      <c r="J955" s="9">
        <v>1</v>
      </c>
      <c r="K955" s="9">
        <v>192</v>
      </c>
      <c r="L955" s="9">
        <v>2019</v>
      </c>
      <c r="M955" s="8" t="s">
        <v>5261</v>
      </c>
      <c r="N955" s="8" t="s">
        <v>40</v>
      </c>
      <c r="O955" s="8" t="s">
        <v>41</v>
      </c>
      <c r="P955" s="6" t="s">
        <v>95</v>
      </c>
      <c r="Q955" s="8" t="s">
        <v>76</v>
      </c>
      <c r="R955" s="10" t="s">
        <v>5262</v>
      </c>
      <c r="S955" s="11"/>
      <c r="T955" s="6"/>
      <c r="U955" s="28" t="str">
        <f>HYPERLINK("https://media.infra-m.ru/1945/1945302/cover/1945302.jpg", "Обложка")</f>
        <v>Обложка</v>
      </c>
      <c r="V955" s="28" t="str">
        <f>HYPERLINK("https://znanium.ru/catalog/product/1002558", "Ознакомиться")</f>
        <v>Ознакомиться</v>
      </c>
      <c r="W955" s="8" t="s">
        <v>194</v>
      </c>
      <c r="X955" s="6"/>
      <c r="Y955" s="6"/>
      <c r="Z955" s="6"/>
      <c r="AA955" s="6" t="s">
        <v>88</v>
      </c>
    </row>
    <row r="956" spans="1:27" s="4" customFormat="1" ht="42" customHeight="1">
      <c r="A956" s="5">
        <v>0</v>
      </c>
      <c r="B956" s="6" t="s">
        <v>5263</v>
      </c>
      <c r="C956" s="13">
        <v>684</v>
      </c>
      <c r="D956" s="8" t="s">
        <v>5264</v>
      </c>
      <c r="E956" s="8" t="s">
        <v>5265</v>
      </c>
      <c r="F956" s="8" t="s">
        <v>5266</v>
      </c>
      <c r="G956" s="6" t="s">
        <v>51</v>
      </c>
      <c r="H956" s="6" t="s">
        <v>84</v>
      </c>
      <c r="I956" s="8" t="s">
        <v>250</v>
      </c>
      <c r="J956" s="9">
        <v>1</v>
      </c>
      <c r="K956" s="9">
        <v>124</v>
      </c>
      <c r="L956" s="9">
        <v>2024</v>
      </c>
      <c r="M956" s="8" t="s">
        <v>5267</v>
      </c>
      <c r="N956" s="8" t="s">
        <v>40</v>
      </c>
      <c r="O956" s="8" t="s">
        <v>41</v>
      </c>
      <c r="P956" s="6" t="s">
        <v>42</v>
      </c>
      <c r="Q956" s="8" t="s">
        <v>43</v>
      </c>
      <c r="R956" s="10" t="s">
        <v>314</v>
      </c>
      <c r="S956" s="11"/>
      <c r="T956" s="6"/>
      <c r="U956" s="28" t="str">
        <f>HYPERLINK("https://media.infra-m.ru/2132/2132471/cover/2132471.jpg", "Обложка")</f>
        <v>Обложка</v>
      </c>
      <c r="V956" s="28" t="str">
        <f>HYPERLINK("https://znanium.ru/catalog/product/2132471", "Ознакомиться")</f>
        <v>Ознакомиться</v>
      </c>
      <c r="W956" s="8" t="s">
        <v>5268</v>
      </c>
      <c r="X956" s="6"/>
      <c r="Y956" s="6"/>
      <c r="Z956" s="6"/>
      <c r="AA956" s="6" t="s">
        <v>424</v>
      </c>
    </row>
    <row r="957" spans="1:27" s="4" customFormat="1" ht="42" customHeight="1">
      <c r="A957" s="5">
        <v>0</v>
      </c>
      <c r="B957" s="6" t="s">
        <v>5269</v>
      </c>
      <c r="C957" s="7">
        <v>1332</v>
      </c>
      <c r="D957" s="8" t="s">
        <v>5270</v>
      </c>
      <c r="E957" s="8" t="s">
        <v>5271</v>
      </c>
      <c r="F957" s="8" t="s">
        <v>5272</v>
      </c>
      <c r="G957" s="6" t="s">
        <v>58</v>
      </c>
      <c r="H957" s="6" t="s">
        <v>84</v>
      </c>
      <c r="I957" s="8" t="s">
        <v>184</v>
      </c>
      <c r="J957" s="9">
        <v>1</v>
      </c>
      <c r="K957" s="9">
        <v>237</v>
      </c>
      <c r="L957" s="9">
        <v>2023</v>
      </c>
      <c r="M957" s="8" t="s">
        <v>5273</v>
      </c>
      <c r="N957" s="8" t="s">
        <v>40</v>
      </c>
      <c r="O957" s="8" t="s">
        <v>41</v>
      </c>
      <c r="P957" s="6" t="s">
        <v>75</v>
      </c>
      <c r="Q957" s="8" t="s">
        <v>76</v>
      </c>
      <c r="R957" s="10" t="s">
        <v>5274</v>
      </c>
      <c r="S957" s="11"/>
      <c r="T957" s="6"/>
      <c r="U957" s="28" t="str">
        <f>HYPERLINK("https://media.infra-m.ru/1882/1882573/cover/1882573.jpg", "Обложка")</f>
        <v>Обложка</v>
      </c>
      <c r="V957" s="28" t="str">
        <f>HYPERLINK("https://znanium.ru/catalog/product/1882573", "Ознакомиться")</f>
        <v>Ознакомиться</v>
      </c>
      <c r="W957" s="8" t="s">
        <v>2958</v>
      </c>
      <c r="X957" s="6"/>
      <c r="Y957" s="6"/>
      <c r="Z957" s="6"/>
      <c r="AA957" s="6" t="s">
        <v>417</v>
      </c>
    </row>
    <row r="958" spans="1:27" s="4" customFormat="1" ht="51.95" customHeight="1">
      <c r="A958" s="5">
        <v>0</v>
      </c>
      <c r="B958" s="6" t="s">
        <v>5275</v>
      </c>
      <c r="C958" s="7">
        <v>1164</v>
      </c>
      <c r="D958" s="8" t="s">
        <v>5276</v>
      </c>
      <c r="E958" s="8" t="s">
        <v>5277</v>
      </c>
      <c r="F958" s="8" t="s">
        <v>5278</v>
      </c>
      <c r="G958" s="6" t="s">
        <v>51</v>
      </c>
      <c r="H958" s="6" t="s">
        <v>84</v>
      </c>
      <c r="I958" s="8" t="s">
        <v>250</v>
      </c>
      <c r="J958" s="9">
        <v>1</v>
      </c>
      <c r="K958" s="9">
        <v>230</v>
      </c>
      <c r="L958" s="9">
        <v>2022</v>
      </c>
      <c r="M958" s="8" t="s">
        <v>5279</v>
      </c>
      <c r="N958" s="8" t="s">
        <v>40</v>
      </c>
      <c r="O958" s="8" t="s">
        <v>41</v>
      </c>
      <c r="P958" s="6" t="s">
        <v>42</v>
      </c>
      <c r="Q958" s="8" t="s">
        <v>43</v>
      </c>
      <c r="R958" s="10" t="s">
        <v>965</v>
      </c>
      <c r="S958" s="11"/>
      <c r="T958" s="6"/>
      <c r="U958" s="28" t="str">
        <f>HYPERLINK("https://media.infra-m.ru/1862/1862596/cover/1862596.jpg", "Обложка")</f>
        <v>Обложка</v>
      </c>
      <c r="V958" s="28" t="str">
        <f>HYPERLINK("https://znanium.ru/catalog/product/1862596", "Ознакомиться")</f>
        <v>Ознакомиться</v>
      </c>
      <c r="W958" s="8" t="s">
        <v>939</v>
      </c>
      <c r="X958" s="6"/>
      <c r="Y958" s="6"/>
      <c r="Z958" s="6"/>
      <c r="AA958" s="6" t="s">
        <v>353</v>
      </c>
    </row>
    <row r="959" spans="1:27" s="4" customFormat="1" ht="42" customHeight="1">
      <c r="A959" s="5">
        <v>0</v>
      </c>
      <c r="B959" s="6" t="s">
        <v>5280</v>
      </c>
      <c r="C959" s="7">
        <v>1120.8</v>
      </c>
      <c r="D959" s="8" t="s">
        <v>5281</v>
      </c>
      <c r="E959" s="8" t="s">
        <v>5282</v>
      </c>
      <c r="F959" s="8" t="s">
        <v>5283</v>
      </c>
      <c r="G959" s="6" t="s">
        <v>37</v>
      </c>
      <c r="H959" s="6" t="s">
        <v>84</v>
      </c>
      <c r="I959" s="8" t="s">
        <v>250</v>
      </c>
      <c r="J959" s="9">
        <v>1</v>
      </c>
      <c r="K959" s="9">
        <v>199</v>
      </c>
      <c r="L959" s="9">
        <v>2024</v>
      </c>
      <c r="M959" s="8" t="s">
        <v>5284</v>
      </c>
      <c r="N959" s="8" t="s">
        <v>40</v>
      </c>
      <c r="O959" s="8" t="s">
        <v>41</v>
      </c>
      <c r="P959" s="6" t="s">
        <v>42</v>
      </c>
      <c r="Q959" s="8" t="s">
        <v>43</v>
      </c>
      <c r="R959" s="10" t="s">
        <v>5285</v>
      </c>
      <c r="S959" s="11"/>
      <c r="T959" s="6"/>
      <c r="U959" s="28" t="str">
        <f>HYPERLINK("https://media.infra-m.ru/2152/2152064/cover/2152064.jpg", "Обложка")</f>
        <v>Обложка</v>
      </c>
      <c r="V959" s="28" t="str">
        <f>HYPERLINK("https://znanium.ru/catalog/product/1881139", "Ознакомиться")</f>
        <v>Ознакомиться</v>
      </c>
      <c r="W959" s="8" t="s">
        <v>45</v>
      </c>
      <c r="X959" s="6"/>
      <c r="Y959" s="6"/>
      <c r="Z959" s="6"/>
      <c r="AA959" s="6" t="s">
        <v>79</v>
      </c>
    </row>
    <row r="960" spans="1:27" s="4" customFormat="1" ht="44.1" customHeight="1">
      <c r="A960" s="5">
        <v>0</v>
      </c>
      <c r="B960" s="6" t="s">
        <v>5286</v>
      </c>
      <c r="C960" s="13">
        <v>756</v>
      </c>
      <c r="D960" s="8" t="s">
        <v>5287</v>
      </c>
      <c r="E960" s="8" t="s">
        <v>5288</v>
      </c>
      <c r="F960" s="8" t="s">
        <v>5289</v>
      </c>
      <c r="G960" s="6" t="s">
        <v>51</v>
      </c>
      <c r="H960" s="6" t="s">
        <v>84</v>
      </c>
      <c r="I960" s="8" t="s">
        <v>250</v>
      </c>
      <c r="J960" s="9">
        <v>1</v>
      </c>
      <c r="K960" s="9">
        <v>159</v>
      </c>
      <c r="L960" s="9">
        <v>2022</v>
      </c>
      <c r="M960" s="8" t="s">
        <v>5290</v>
      </c>
      <c r="N960" s="8" t="s">
        <v>40</v>
      </c>
      <c r="O960" s="8" t="s">
        <v>41</v>
      </c>
      <c r="P960" s="6" t="s">
        <v>42</v>
      </c>
      <c r="Q960" s="8" t="s">
        <v>43</v>
      </c>
      <c r="R960" s="10" t="s">
        <v>1427</v>
      </c>
      <c r="S960" s="11"/>
      <c r="T960" s="6"/>
      <c r="U960" s="28" t="str">
        <f>HYPERLINK("https://media.infra-m.ru/1864/1864114/cover/1864114.jpg", "Обложка")</f>
        <v>Обложка</v>
      </c>
      <c r="V960" s="28" t="str">
        <f>HYPERLINK("https://znanium.ru/catalog/product/1864114", "Ознакомиться")</f>
        <v>Ознакомиться</v>
      </c>
      <c r="W960" s="8" t="s">
        <v>5291</v>
      </c>
      <c r="X960" s="6"/>
      <c r="Y960" s="6"/>
      <c r="Z960" s="6"/>
      <c r="AA960" s="6" t="s">
        <v>115</v>
      </c>
    </row>
    <row r="961" spans="1:27" s="4" customFormat="1" ht="51.95" customHeight="1">
      <c r="A961" s="5">
        <v>0</v>
      </c>
      <c r="B961" s="6" t="s">
        <v>5292</v>
      </c>
      <c r="C961" s="13">
        <v>456</v>
      </c>
      <c r="D961" s="8" t="s">
        <v>5293</v>
      </c>
      <c r="E961" s="8" t="s">
        <v>5294</v>
      </c>
      <c r="F961" s="8" t="s">
        <v>5295</v>
      </c>
      <c r="G961" s="6" t="s">
        <v>51</v>
      </c>
      <c r="H961" s="6" t="s">
        <v>84</v>
      </c>
      <c r="I961" s="8" t="s">
        <v>184</v>
      </c>
      <c r="J961" s="9">
        <v>1</v>
      </c>
      <c r="K961" s="9">
        <v>140</v>
      </c>
      <c r="L961" s="9">
        <v>2017</v>
      </c>
      <c r="M961" s="8" t="s">
        <v>5296</v>
      </c>
      <c r="N961" s="8" t="s">
        <v>40</v>
      </c>
      <c r="O961" s="8" t="s">
        <v>41</v>
      </c>
      <c r="P961" s="6" t="s">
        <v>75</v>
      </c>
      <c r="Q961" s="8" t="s">
        <v>76</v>
      </c>
      <c r="R961" s="10" t="s">
        <v>5297</v>
      </c>
      <c r="S961" s="11" t="s">
        <v>5298</v>
      </c>
      <c r="T961" s="6" t="s">
        <v>378</v>
      </c>
      <c r="U961" s="28" t="str">
        <f>HYPERLINK("https://media.infra-m.ru/0809/0809916/cover/809916.jpg", "Обложка")</f>
        <v>Обложка</v>
      </c>
      <c r="V961" s="28" t="str">
        <f>HYPERLINK("https://znanium.ru/catalog/product/1938936", "Ознакомиться")</f>
        <v>Ознакомиться</v>
      </c>
      <c r="W961" s="8" t="s">
        <v>158</v>
      </c>
      <c r="X961" s="6"/>
      <c r="Y961" s="6"/>
      <c r="Z961" s="6"/>
      <c r="AA961" s="6" t="s">
        <v>148</v>
      </c>
    </row>
    <row r="962" spans="1:27" s="4" customFormat="1" ht="44.1" customHeight="1">
      <c r="A962" s="5">
        <v>0</v>
      </c>
      <c r="B962" s="6" t="s">
        <v>5299</v>
      </c>
      <c r="C962" s="7">
        <v>2524.8000000000002</v>
      </c>
      <c r="D962" s="8" t="s">
        <v>5300</v>
      </c>
      <c r="E962" s="8" t="s">
        <v>5301</v>
      </c>
      <c r="F962" s="8" t="s">
        <v>5302</v>
      </c>
      <c r="G962" s="6" t="s">
        <v>58</v>
      </c>
      <c r="H962" s="6" t="s">
        <v>84</v>
      </c>
      <c r="I962" s="8" t="s">
        <v>85</v>
      </c>
      <c r="J962" s="9">
        <v>1</v>
      </c>
      <c r="K962" s="9">
        <v>456</v>
      </c>
      <c r="L962" s="9">
        <v>2024</v>
      </c>
      <c r="M962" s="8" t="s">
        <v>5303</v>
      </c>
      <c r="N962" s="8" t="s">
        <v>40</v>
      </c>
      <c r="O962" s="8" t="s">
        <v>41</v>
      </c>
      <c r="P962" s="6" t="s">
        <v>42</v>
      </c>
      <c r="Q962" s="8" t="s">
        <v>43</v>
      </c>
      <c r="R962" s="10" t="s">
        <v>5304</v>
      </c>
      <c r="S962" s="11"/>
      <c r="T962" s="6"/>
      <c r="U962" s="28" t="str">
        <f>HYPERLINK("https://media.infra-m.ru/2123/2123888/cover/2123888.jpg", "Обложка")</f>
        <v>Обложка</v>
      </c>
      <c r="V962" s="28" t="str">
        <f>HYPERLINK("https://znanium.ru/catalog/product/1905450", "Ознакомиться")</f>
        <v>Ознакомиться</v>
      </c>
      <c r="W962" s="8" t="s">
        <v>45</v>
      </c>
      <c r="X962" s="6"/>
      <c r="Y962" s="6"/>
      <c r="Z962" s="6"/>
      <c r="AA962" s="6" t="s">
        <v>353</v>
      </c>
    </row>
    <row r="963" spans="1:27" s="4" customFormat="1" ht="51.95" customHeight="1">
      <c r="A963" s="5">
        <v>0</v>
      </c>
      <c r="B963" s="6" t="s">
        <v>5305</v>
      </c>
      <c r="C963" s="13">
        <v>569.9</v>
      </c>
      <c r="D963" s="8" t="s">
        <v>5306</v>
      </c>
      <c r="E963" s="8" t="s">
        <v>5307</v>
      </c>
      <c r="F963" s="8" t="s">
        <v>4587</v>
      </c>
      <c r="G963" s="6" t="s">
        <v>51</v>
      </c>
      <c r="H963" s="6" t="s">
        <v>38</v>
      </c>
      <c r="I963" s="8"/>
      <c r="J963" s="9">
        <v>1</v>
      </c>
      <c r="K963" s="9">
        <v>176</v>
      </c>
      <c r="L963" s="9">
        <v>2017</v>
      </c>
      <c r="M963" s="8" t="s">
        <v>5308</v>
      </c>
      <c r="N963" s="8" t="s">
        <v>40</v>
      </c>
      <c r="O963" s="8" t="s">
        <v>41</v>
      </c>
      <c r="P963" s="6" t="s">
        <v>2858</v>
      </c>
      <c r="Q963" s="8" t="s">
        <v>43</v>
      </c>
      <c r="R963" s="10" t="s">
        <v>5309</v>
      </c>
      <c r="S963" s="11"/>
      <c r="T963" s="6"/>
      <c r="U963" s="28" t="str">
        <f>HYPERLINK("https://media.infra-m.ru/0814/0814523/cover/814523.jpg", "Обложка")</f>
        <v>Обложка</v>
      </c>
      <c r="V963" s="28" t="str">
        <f>HYPERLINK("https://znanium.ru/catalog/product/496832", "Ознакомиться")</f>
        <v>Ознакомиться</v>
      </c>
      <c r="W963" s="8"/>
      <c r="X963" s="6"/>
      <c r="Y963" s="6"/>
      <c r="Z963" s="6"/>
      <c r="AA963" s="6" t="s">
        <v>302</v>
      </c>
    </row>
    <row r="964" spans="1:27" s="4" customFormat="1" ht="42" customHeight="1">
      <c r="A964" s="5">
        <v>0</v>
      </c>
      <c r="B964" s="6" t="s">
        <v>5310</v>
      </c>
      <c r="C964" s="7">
        <v>1300.8</v>
      </c>
      <c r="D964" s="8" t="s">
        <v>5311</v>
      </c>
      <c r="E964" s="8" t="s">
        <v>5312</v>
      </c>
      <c r="F964" s="8" t="s">
        <v>5313</v>
      </c>
      <c r="G964" s="6" t="s">
        <v>37</v>
      </c>
      <c r="H964" s="6" t="s">
        <v>38</v>
      </c>
      <c r="I964" s="8"/>
      <c r="J964" s="9">
        <v>1</v>
      </c>
      <c r="K964" s="9">
        <v>240</v>
      </c>
      <c r="L964" s="9">
        <v>2022</v>
      </c>
      <c r="M964" s="8" t="s">
        <v>5314</v>
      </c>
      <c r="N964" s="8" t="s">
        <v>40</v>
      </c>
      <c r="O964" s="8" t="s">
        <v>41</v>
      </c>
      <c r="P964" s="6" t="s">
        <v>42</v>
      </c>
      <c r="Q964" s="8" t="s">
        <v>43</v>
      </c>
      <c r="R964" s="10" t="s">
        <v>5315</v>
      </c>
      <c r="S964" s="11"/>
      <c r="T964" s="6"/>
      <c r="U964" s="28" t="str">
        <f>HYPERLINK("https://media.infra-m.ru/2089/2089267/cover/2089267.jpg", "Обложка")</f>
        <v>Обложка</v>
      </c>
      <c r="V964" s="28" t="str">
        <f>HYPERLINK("https://znanium.ru/catalog/product/1856796", "Ознакомиться")</f>
        <v>Ознакомиться</v>
      </c>
      <c r="W964" s="8" t="s">
        <v>45</v>
      </c>
      <c r="X964" s="6"/>
      <c r="Y964" s="6"/>
      <c r="Z964" s="6"/>
      <c r="AA964" s="6" t="s">
        <v>79</v>
      </c>
    </row>
    <row r="965" spans="1:27" s="4" customFormat="1" ht="51.95" customHeight="1">
      <c r="A965" s="5">
        <v>0</v>
      </c>
      <c r="B965" s="6" t="s">
        <v>5316</v>
      </c>
      <c r="C965" s="7">
        <v>1932</v>
      </c>
      <c r="D965" s="8" t="s">
        <v>5317</v>
      </c>
      <c r="E965" s="8" t="s">
        <v>5318</v>
      </c>
      <c r="F965" s="8" t="s">
        <v>5319</v>
      </c>
      <c r="G965" s="6" t="s">
        <v>37</v>
      </c>
      <c r="H965" s="6" t="s">
        <v>84</v>
      </c>
      <c r="I965" s="8" t="s">
        <v>85</v>
      </c>
      <c r="J965" s="9">
        <v>1</v>
      </c>
      <c r="K965" s="9">
        <v>344</v>
      </c>
      <c r="L965" s="9">
        <v>2024</v>
      </c>
      <c r="M965" s="8" t="s">
        <v>5320</v>
      </c>
      <c r="N965" s="8" t="s">
        <v>40</v>
      </c>
      <c r="O965" s="8" t="s">
        <v>41</v>
      </c>
      <c r="P965" s="6" t="s">
        <v>841</v>
      </c>
      <c r="Q965" s="8" t="s">
        <v>43</v>
      </c>
      <c r="R965" s="10" t="s">
        <v>5321</v>
      </c>
      <c r="S965" s="11"/>
      <c r="T965" s="6"/>
      <c r="U965" s="28" t="str">
        <f>HYPERLINK("https://media.infra-m.ru/2132/2132425/cover/2132425.jpg", "Обложка")</f>
        <v>Обложка</v>
      </c>
      <c r="V965" s="28" t="str">
        <f>HYPERLINK("https://znanium.ru/catalog/product/2132425", "Ознакомиться")</f>
        <v>Ознакомиться</v>
      </c>
      <c r="W965" s="8" t="s">
        <v>568</v>
      </c>
      <c r="X965" s="6"/>
      <c r="Y965" s="6"/>
      <c r="Z965" s="6"/>
      <c r="AA965" s="6" t="s">
        <v>424</v>
      </c>
    </row>
    <row r="966" spans="1:27" s="4" customFormat="1" ht="51.95" customHeight="1">
      <c r="A966" s="5">
        <v>0</v>
      </c>
      <c r="B966" s="6" t="s">
        <v>5322</v>
      </c>
      <c r="C966" s="7">
        <v>2212.8000000000002</v>
      </c>
      <c r="D966" s="8" t="s">
        <v>5323</v>
      </c>
      <c r="E966" s="8" t="s">
        <v>5324</v>
      </c>
      <c r="F966" s="8" t="s">
        <v>5325</v>
      </c>
      <c r="G966" s="6" t="s">
        <v>51</v>
      </c>
      <c r="H966" s="6" t="s">
        <v>38</v>
      </c>
      <c r="I966" s="8"/>
      <c r="J966" s="9">
        <v>1</v>
      </c>
      <c r="K966" s="9">
        <v>400</v>
      </c>
      <c r="L966" s="9">
        <v>2023</v>
      </c>
      <c r="M966" s="8" t="s">
        <v>5326</v>
      </c>
      <c r="N966" s="8" t="s">
        <v>40</v>
      </c>
      <c r="O966" s="8" t="s">
        <v>41</v>
      </c>
      <c r="P966" s="6" t="s">
        <v>42</v>
      </c>
      <c r="Q966" s="8" t="s">
        <v>43</v>
      </c>
      <c r="R966" s="10" t="s">
        <v>5327</v>
      </c>
      <c r="S966" s="11"/>
      <c r="T966" s="6"/>
      <c r="U966" s="28" t="str">
        <f>HYPERLINK("https://media.infra-m.ru/1895/1895620/cover/1895620.jpg", "Обложка")</f>
        <v>Обложка</v>
      </c>
      <c r="V966" s="28" t="str">
        <f>HYPERLINK("https://znanium.ru/catalog/product/1227508", "Ознакомиться")</f>
        <v>Ознакомиться</v>
      </c>
      <c r="W966" s="8" t="s">
        <v>5328</v>
      </c>
      <c r="X966" s="6"/>
      <c r="Y966" s="6"/>
      <c r="Z966" s="6"/>
      <c r="AA966" s="6" t="s">
        <v>424</v>
      </c>
    </row>
    <row r="967" spans="1:27" s="4" customFormat="1" ht="42" customHeight="1">
      <c r="A967" s="5">
        <v>0</v>
      </c>
      <c r="B967" s="6" t="s">
        <v>5329</v>
      </c>
      <c r="C967" s="7">
        <v>1128</v>
      </c>
      <c r="D967" s="8" t="s">
        <v>5330</v>
      </c>
      <c r="E967" s="8" t="s">
        <v>5331</v>
      </c>
      <c r="F967" s="8" t="s">
        <v>5332</v>
      </c>
      <c r="G967" s="6" t="s">
        <v>58</v>
      </c>
      <c r="H967" s="6" t="s">
        <v>84</v>
      </c>
      <c r="I967" s="8" t="s">
        <v>250</v>
      </c>
      <c r="J967" s="9">
        <v>1</v>
      </c>
      <c r="K967" s="9">
        <v>185</v>
      </c>
      <c r="L967" s="9">
        <v>2024</v>
      </c>
      <c r="M967" s="8" t="s">
        <v>5333</v>
      </c>
      <c r="N967" s="8" t="s">
        <v>40</v>
      </c>
      <c r="O967" s="8" t="s">
        <v>41</v>
      </c>
      <c r="P967" s="6" t="s">
        <v>42</v>
      </c>
      <c r="Q967" s="8" t="s">
        <v>43</v>
      </c>
      <c r="R967" s="10" t="s">
        <v>1376</v>
      </c>
      <c r="S967" s="11"/>
      <c r="T967" s="6"/>
      <c r="U967" s="28" t="str">
        <f>HYPERLINK("https://media.infra-m.ru/2099/2099009/cover/2099009.jpg", "Обложка")</f>
        <v>Обложка</v>
      </c>
      <c r="V967" s="28" t="str">
        <f>HYPERLINK("https://znanium.ru/catalog/product/2099009", "Ознакомиться")</f>
        <v>Ознакомиться</v>
      </c>
      <c r="W967" s="8" t="s">
        <v>1724</v>
      </c>
      <c r="X967" s="6" t="s">
        <v>3280</v>
      </c>
      <c r="Y967" s="6"/>
      <c r="Z967" s="6"/>
      <c r="AA967" s="6" t="s">
        <v>100</v>
      </c>
    </row>
    <row r="968" spans="1:27" s="4" customFormat="1" ht="42" customHeight="1">
      <c r="A968" s="5">
        <v>0</v>
      </c>
      <c r="B968" s="6" t="s">
        <v>5334</v>
      </c>
      <c r="C968" s="7">
        <v>2784</v>
      </c>
      <c r="D968" s="8" t="s">
        <v>5335</v>
      </c>
      <c r="E968" s="8" t="s">
        <v>5336</v>
      </c>
      <c r="F968" s="8" t="s">
        <v>5337</v>
      </c>
      <c r="G968" s="6" t="s">
        <v>37</v>
      </c>
      <c r="H968" s="6" t="s">
        <v>38</v>
      </c>
      <c r="I968" s="8"/>
      <c r="J968" s="9">
        <v>1</v>
      </c>
      <c r="K968" s="9">
        <v>688</v>
      </c>
      <c r="L968" s="9">
        <v>2022</v>
      </c>
      <c r="M968" s="8" t="s">
        <v>5338</v>
      </c>
      <c r="N968" s="8" t="s">
        <v>40</v>
      </c>
      <c r="O968" s="8" t="s">
        <v>41</v>
      </c>
      <c r="P968" s="6" t="s">
        <v>42</v>
      </c>
      <c r="Q968" s="8" t="s">
        <v>43</v>
      </c>
      <c r="R968" s="10" t="s">
        <v>1376</v>
      </c>
      <c r="S968" s="11"/>
      <c r="T968" s="6"/>
      <c r="U968" s="28" t="str">
        <f>HYPERLINK("https://media.infra-m.ru/1864/1864115/cover/1864115.jpg", "Обложка")</f>
        <v>Обложка</v>
      </c>
      <c r="V968" s="12"/>
      <c r="W968" s="8" t="s">
        <v>743</v>
      </c>
      <c r="X968" s="6"/>
      <c r="Y968" s="6"/>
      <c r="Z968" s="6"/>
      <c r="AA968" s="6" t="s">
        <v>115</v>
      </c>
    </row>
    <row r="969" spans="1:27" s="4" customFormat="1" ht="42" customHeight="1">
      <c r="A969" s="5">
        <v>0</v>
      </c>
      <c r="B969" s="6" t="s">
        <v>5339</v>
      </c>
      <c r="C969" s="7">
        <v>2970</v>
      </c>
      <c r="D969" s="8" t="s">
        <v>5340</v>
      </c>
      <c r="E969" s="8" t="s">
        <v>5341</v>
      </c>
      <c r="F969" s="8" t="s">
        <v>5337</v>
      </c>
      <c r="G969" s="6" t="s">
        <v>58</v>
      </c>
      <c r="H969" s="6" t="s">
        <v>38</v>
      </c>
      <c r="I969" s="8"/>
      <c r="J969" s="9">
        <v>1</v>
      </c>
      <c r="K969" s="9">
        <v>872</v>
      </c>
      <c r="L969" s="9">
        <v>2023</v>
      </c>
      <c r="M969" s="8" t="s">
        <v>5342</v>
      </c>
      <c r="N969" s="8" t="s">
        <v>40</v>
      </c>
      <c r="O969" s="8" t="s">
        <v>41</v>
      </c>
      <c r="P969" s="6" t="s">
        <v>42</v>
      </c>
      <c r="Q969" s="8"/>
      <c r="R969" s="10" t="s">
        <v>308</v>
      </c>
      <c r="S969" s="11"/>
      <c r="T969" s="6"/>
      <c r="U969" s="28" t="str">
        <f>HYPERLINK("https://media.infra-m.ru/1915/1915697/cover/1915697.jpg", "Обложка")</f>
        <v>Обложка</v>
      </c>
      <c r="V969" s="12"/>
      <c r="W969" s="8" t="s">
        <v>743</v>
      </c>
      <c r="X969" s="6"/>
      <c r="Y969" s="6"/>
      <c r="Z969" s="6"/>
      <c r="AA969" s="6" t="s">
        <v>417</v>
      </c>
    </row>
    <row r="970" spans="1:27" s="4" customFormat="1" ht="42" customHeight="1">
      <c r="A970" s="5">
        <v>0</v>
      </c>
      <c r="B970" s="6" t="s">
        <v>5343</v>
      </c>
      <c r="C970" s="7">
        <v>2574</v>
      </c>
      <c r="D970" s="8" t="s">
        <v>5344</v>
      </c>
      <c r="E970" s="8" t="s">
        <v>5345</v>
      </c>
      <c r="F970" s="8" t="s">
        <v>5337</v>
      </c>
      <c r="G970" s="6" t="s">
        <v>58</v>
      </c>
      <c r="H970" s="6" t="s">
        <v>38</v>
      </c>
      <c r="I970" s="8"/>
      <c r="J970" s="9">
        <v>1</v>
      </c>
      <c r="K970" s="9">
        <v>672</v>
      </c>
      <c r="L970" s="9">
        <v>2023</v>
      </c>
      <c r="M970" s="8" t="s">
        <v>5346</v>
      </c>
      <c r="N970" s="8" t="s">
        <v>40</v>
      </c>
      <c r="O970" s="8" t="s">
        <v>41</v>
      </c>
      <c r="P970" s="6" t="s">
        <v>42</v>
      </c>
      <c r="Q970" s="8"/>
      <c r="R970" s="10" t="s">
        <v>308</v>
      </c>
      <c r="S970" s="11"/>
      <c r="T970" s="6"/>
      <c r="U970" s="28" t="str">
        <f>HYPERLINK("https://media.infra-m.ru/1915/1915698/cover/1915698.jpg", "Обложка")</f>
        <v>Обложка</v>
      </c>
      <c r="V970" s="12"/>
      <c r="W970" s="8" t="s">
        <v>743</v>
      </c>
      <c r="X970" s="6"/>
      <c r="Y970" s="6"/>
      <c r="Z970" s="6"/>
      <c r="AA970" s="6" t="s">
        <v>417</v>
      </c>
    </row>
    <row r="971" spans="1:27" s="4" customFormat="1" ht="42" customHeight="1">
      <c r="A971" s="5">
        <v>0</v>
      </c>
      <c r="B971" s="6" t="s">
        <v>5347</v>
      </c>
      <c r="C971" s="7">
        <v>3175.2</v>
      </c>
      <c r="D971" s="8" t="s">
        <v>5348</v>
      </c>
      <c r="E971" s="8" t="s">
        <v>5349</v>
      </c>
      <c r="F971" s="8" t="s">
        <v>5337</v>
      </c>
      <c r="G971" s="6" t="s">
        <v>58</v>
      </c>
      <c r="H971" s="6" t="s">
        <v>38</v>
      </c>
      <c r="I971" s="8"/>
      <c r="J971" s="9">
        <v>1</v>
      </c>
      <c r="K971" s="9">
        <v>1088</v>
      </c>
      <c r="L971" s="9">
        <v>2024</v>
      </c>
      <c r="M971" s="8" t="s">
        <v>5350</v>
      </c>
      <c r="N971" s="8" t="s">
        <v>40</v>
      </c>
      <c r="O971" s="8" t="s">
        <v>41</v>
      </c>
      <c r="P971" s="6" t="s">
        <v>42</v>
      </c>
      <c r="Q971" s="8" t="s">
        <v>43</v>
      </c>
      <c r="R971" s="10" t="s">
        <v>69</v>
      </c>
      <c r="S971" s="11"/>
      <c r="T971" s="6"/>
      <c r="U971" s="28" t="str">
        <f>HYPERLINK("https://media.infra-m.ru/2080/2080567/cover/2080567.jpg", "Обложка")</f>
        <v>Обложка</v>
      </c>
      <c r="V971" s="12"/>
      <c r="W971" s="8" t="s">
        <v>743</v>
      </c>
      <c r="X971" s="6"/>
      <c r="Y971" s="6"/>
      <c r="Z971" s="6"/>
      <c r="AA971" s="6" t="s">
        <v>46</v>
      </c>
    </row>
    <row r="972" spans="1:27" s="4" customFormat="1" ht="51.95" customHeight="1">
      <c r="A972" s="5">
        <v>0</v>
      </c>
      <c r="B972" s="6" t="s">
        <v>5351</v>
      </c>
      <c r="C972" s="7">
        <v>1728</v>
      </c>
      <c r="D972" s="8" t="s">
        <v>5352</v>
      </c>
      <c r="E972" s="8" t="s">
        <v>5353</v>
      </c>
      <c r="F972" s="8" t="s">
        <v>5354</v>
      </c>
      <c r="G972" s="6" t="s">
        <v>58</v>
      </c>
      <c r="H972" s="6" t="s">
        <v>84</v>
      </c>
      <c r="I972" s="8" t="s">
        <v>250</v>
      </c>
      <c r="J972" s="9">
        <v>1</v>
      </c>
      <c r="K972" s="9">
        <v>318</v>
      </c>
      <c r="L972" s="9">
        <v>2023</v>
      </c>
      <c r="M972" s="8" t="s">
        <v>5355</v>
      </c>
      <c r="N972" s="8" t="s">
        <v>40</v>
      </c>
      <c r="O972" s="8" t="s">
        <v>41</v>
      </c>
      <c r="P972" s="6" t="s">
        <v>42</v>
      </c>
      <c r="Q972" s="8" t="s">
        <v>43</v>
      </c>
      <c r="R972" s="10" t="s">
        <v>488</v>
      </c>
      <c r="S972" s="11"/>
      <c r="T972" s="6"/>
      <c r="U972" s="28" t="str">
        <f>HYPERLINK("https://media.infra-m.ru/2030/2030734/cover/2030734.jpg", "Обложка")</f>
        <v>Обложка</v>
      </c>
      <c r="V972" s="28" t="str">
        <f>HYPERLINK("https://znanium.ru/catalog/product/2030734", "Ознакомиться")</f>
        <v>Ознакомиться</v>
      </c>
      <c r="W972" s="8" t="s">
        <v>1122</v>
      </c>
      <c r="X972" s="6" t="s">
        <v>3526</v>
      </c>
      <c r="Y972" s="6"/>
      <c r="Z972" s="6"/>
      <c r="AA972" s="6" t="s">
        <v>417</v>
      </c>
    </row>
    <row r="973" spans="1:27" s="4" customFormat="1" ht="51.95" customHeight="1">
      <c r="A973" s="5">
        <v>0</v>
      </c>
      <c r="B973" s="6" t="s">
        <v>5356</v>
      </c>
      <c r="C973" s="7">
        <v>1392</v>
      </c>
      <c r="D973" s="8" t="s">
        <v>5357</v>
      </c>
      <c r="E973" s="8" t="s">
        <v>5358</v>
      </c>
      <c r="F973" s="8" t="s">
        <v>778</v>
      </c>
      <c r="G973" s="6" t="s">
        <v>58</v>
      </c>
      <c r="H973" s="6" t="s">
        <v>84</v>
      </c>
      <c r="I973" s="8" t="s">
        <v>93</v>
      </c>
      <c r="J973" s="9">
        <v>1</v>
      </c>
      <c r="K973" s="9">
        <v>252</v>
      </c>
      <c r="L973" s="9">
        <v>2023</v>
      </c>
      <c r="M973" s="8" t="s">
        <v>5359</v>
      </c>
      <c r="N973" s="8" t="s">
        <v>40</v>
      </c>
      <c r="O973" s="8" t="s">
        <v>41</v>
      </c>
      <c r="P973" s="6" t="s">
        <v>75</v>
      </c>
      <c r="Q973" s="8" t="s">
        <v>96</v>
      </c>
      <c r="R973" s="10" t="s">
        <v>97</v>
      </c>
      <c r="S973" s="11" t="s">
        <v>5360</v>
      </c>
      <c r="T973" s="6"/>
      <c r="U973" s="28" t="str">
        <f>HYPERLINK("https://media.infra-m.ru/1891/1891021/cover/1891021.jpg", "Обложка")</f>
        <v>Обложка</v>
      </c>
      <c r="V973" s="28" t="str">
        <f>HYPERLINK("https://znanium.ru/catalog/product/1891021", "Ознакомиться")</f>
        <v>Ознакомиться</v>
      </c>
      <c r="W973" s="8" t="s">
        <v>781</v>
      </c>
      <c r="X973" s="6"/>
      <c r="Y973" s="6"/>
      <c r="Z973" s="6"/>
      <c r="AA973" s="6" t="s">
        <v>417</v>
      </c>
    </row>
    <row r="974" spans="1:27" s="4" customFormat="1" ht="51.95" customHeight="1">
      <c r="A974" s="5">
        <v>0</v>
      </c>
      <c r="B974" s="6" t="s">
        <v>5361</v>
      </c>
      <c r="C974" s="7">
        <v>2388</v>
      </c>
      <c r="D974" s="8" t="s">
        <v>5362</v>
      </c>
      <c r="E974" s="8" t="s">
        <v>5363</v>
      </c>
      <c r="F974" s="8" t="s">
        <v>5364</v>
      </c>
      <c r="G974" s="6" t="s">
        <v>58</v>
      </c>
      <c r="H974" s="6" t="s">
        <v>38</v>
      </c>
      <c r="I974" s="8"/>
      <c r="J974" s="9">
        <v>1</v>
      </c>
      <c r="K974" s="9">
        <v>432</v>
      </c>
      <c r="L974" s="9">
        <v>2023</v>
      </c>
      <c r="M974" s="8" t="s">
        <v>5365</v>
      </c>
      <c r="N974" s="8" t="s">
        <v>40</v>
      </c>
      <c r="O974" s="8" t="s">
        <v>41</v>
      </c>
      <c r="P974" s="6" t="s">
        <v>95</v>
      </c>
      <c r="Q974" s="8" t="s">
        <v>76</v>
      </c>
      <c r="R974" s="10" t="s">
        <v>234</v>
      </c>
      <c r="S974" s="11"/>
      <c r="T974" s="6"/>
      <c r="U974" s="28" t="str">
        <f>HYPERLINK("https://media.infra-m.ru/1962/1962515/cover/1962515.jpg", "Обложка")</f>
        <v>Обложка</v>
      </c>
      <c r="V974" s="28" t="str">
        <f>HYPERLINK("https://znanium.ru/catalog/product/1962515", "Ознакомиться")</f>
        <v>Ознакомиться</v>
      </c>
      <c r="W974" s="8" t="s">
        <v>2784</v>
      </c>
      <c r="X974" s="6"/>
      <c r="Y974" s="6"/>
      <c r="Z974" s="6"/>
      <c r="AA974" s="6" t="s">
        <v>143</v>
      </c>
    </row>
    <row r="975" spans="1:27" s="4" customFormat="1" ht="42" customHeight="1">
      <c r="A975" s="5">
        <v>0</v>
      </c>
      <c r="B975" s="6" t="s">
        <v>5366</v>
      </c>
      <c r="C975" s="7">
        <v>2152.8000000000002</v>
      </c>
      <c r="D975" s="8" t="s">
        <v>5367</v>
      </c>
      <c r="E975" s="8" t="s">
        <v>5368</v>
      </c>
      <c r="F975" s="8" t="s">
        <v>5369</v>
      </c>
      <c r="G975" s="6" t="s">
        <v>37</v>
      </c>
      <c r="H975" s="6" t="s">
        <v>38</v>
      </c>
      <c r="I975" s="8" t="s">
        <v>93</v>
      </c>
      <c r="J975" s="9">
        <v>1</v>
      </c>
      <c r="K975" s="9">
        <v>432</v>
      </c>
      <c r="L975" s="9">
        <v>2022</v>
      </c>
      <c r="M975" s="8" t="s">
        <v>5370</v>
      </c>
      <c r="N975" s="8" t="s">
        <v>40</v>
      </c>
      <c r="O975" s="8" t="s">
        <v>41</v>
      </c>
      <c r="P975" s="6" t="s">
        <v>95</v>
      </c>
      <c r="Q975" s="8" t="s">
        <v>96</v>
      </c>
      <c r="R975" s="10" t="s">
        <v>135</v>
      </c>
      <c r="S975" s="11"/>
      <c r="T975" s="6"/>
      <c r="U975" s="28" t="str">
        <f>HYPERLINK("https://media.infra-m.ru/1874/1874641/cover/1874641.jpg", "Обложка")</f>
        <v>Обложка</v>
      </c>
      <c r="V975" s="28" t="str">
        <f>HYPERLINK("https://znanium.ru/catalog/product/1867896", "Ознакомиться")</f>
        <v>Ознакомиться</v>
      </c>
      <c r="W975" s="8" t="s">
        <v>2784</v>
      </c>
      <c r="X975" s="6"/>
      <c r="Y975" s="6"/>
      <c r="Z975" s="6"/>
      <c r="AA975" s="6" t="s">
        <v>353</v>
      </c>
    </row>
    <row r="976" spans="1:27" s="4" customFormat="1" ht="51.95" customHeight="1">
      <c r="A976" s="5">
        <v>0</v>
      </c>
      <c r="B976" s="6" t="s">
        <v>5371</v>
      </c>
      <c r="C976" s="7">
        <v>1709.9</v>
      </c>
      <c r="D976" s="8" t="s">
        <v>5372</v>
      </c>
      <c r="E976" s="8" t="s">
        <v>5368</v>
      </c>
      <c r="F976" s="8" t="s">
        <v>5364</v>
      </c>
      <c r="G976" s="6" t="s">
        <v>58</v>
      </c>
      <c r="H976" s="6" t="s">
        <v>38</v>
      </c>
      <c r="I976" s="8"/>
      <c r="J976" s="9">
        <v>1</v>
      </c>
      <c r="K976" s="9">
        <v>416</v>
      </c>
      <c r="L976" s="9">
        <v>2020</v>
      </c>
      <c r="M976" s="8" t="s">
        <v>5373</v>
      </c>
      <c r="N976" s="8" t="s">
        <v>40</v>
      </c>
      <c r="O976" s="8" t="s">
        <v>41</v>
      </c>
      <c r="P976" s="6" t="s">
        <v>95</v>
      </c>
      <c r="Q976" s="8" t="s">
        <v>76</v>
      </c>
      <c r="R976" s="10" t="s">
        <v>234</v>
      </c>
      <c r="S976" s="11"/>
      <c r="T976" s="6"/>
      <c r="U976" s="28" t="str">
        <f>HYPERLINK("https://media.infra-m.ru/1081/1081355/cover/1081355.jpg", "Обложка")</f>
        <v>Обложка</v>
      </c>
      <c r="V976" s="28" t="str">
        <f>HYPERLINK("https://znanium.ru/catalog/product/1962515", "Ознакомиться")</f>
        <v>Ознакомиться</v>
      </c>
      <c r="W976" s="8" t="s">
        <v>2784</v>
      </c>
      <c r="X976" s="6"/>
      <c r="Y976" s="6"/>
      <c r="Z976" s="6"/>
      <c r="AA976" s="6" t="s">
        <v>46</v>
      </c>
    </row>
    <row r="977" spans="1:27" s="4" customFormat="1" ht="51.95" customHeight="1">
      <c r="A977" s="5">
        <v>0</v>
      </c>
      <c r="B977" s="6" t="s">
        <v>5374</v>
      </c>
      <c r="C977" s="13">
        <v>924</v>
      </c>
      <c r="D977" s="8" t="s">
        <v>5375</v>
      </c>
      <c r="E977" s="8" t="s">
        <v>5368</v>
      </c>
      <c r="F977" s="8" t="s">
        <v>5376</v>
      </c>
      <c r="G977" s="6" t="s">
        <v>58</v>
      </c>
      <c r="H977" s="6" t="s">
        <v>52</v>
      </c>
      <c r="I977" s="8" t="s">
        <v>184</v>
      </c>
      <c r="J977" s="9">
        <v>1</v>
      </c>
      <c r="K977" s="9">
        <v>261</v>
      </c>
      <c r="L977" s="9">
        <v>2017</v>
      </c>
      <c r="M977" s="8" t="s">
        <v>5377</v>
      </c>
      <c r="N977" s="8" t="s">
        <v>40</v>
      </c>
      <c r="O977" s="8" t="s">
        <v>41</v>
      </c>
      <c r="P977" s="6" t="s">
        <v>75</v>
      </c>
      <c r="Q977" s="8" t="s">
        <v>76</v>
      </c>
      <c r="R977" s="10" t="s">
        <v>5378</v>
      </c>
      <c r="S977" s="11" t="s">
        <v>5379</v>
      </c>
      <c r="T977" s="6"/>
      <c r="U977" s="28" t="str">
        <f>HYPERLINK("https://media.infra-m.ru/0810/0810154/cover/810154.jpg", "Обложка")</f>
        <v>Обложка</v>
      </c>
      <c r="V977" s="28" t="str">
        <f>HYPERLINK("https://znanium.ru/catalog/product/563784", "Ознакомиться")</f>
        <v>Ознакомиться</v>
      </c>
      <c r="W977" s="8" t="s">
        <v>5380</v>
      </c>
      <c r="X977" s="6"/>
      <c r="Y977" s="6"/>
      <c r="Z977" s="6"/>
      <c r="AA977" s="6" t="s">
        <v>148</v>
      </c>
    </row>
    <row r="978" spans="1:27" s="4" customFormat="1" ht="42" customHeight="1">
      <c r="A978" s="5">
        <v>0</v>
      </c>
      <c r="B978" s="6" t="s">
        <v>5381</v>
      </c>
      <c r="C978" s="7">
        <v>1620</v>
      </c>
      <c r="D978" s="8" t="s">
        <v>5382</v>
      </c>
      <c r="E978" s="8" t="s">
        <v>5383</v>
      </c>
      <c r="F978" s="8" t="s">
        <v>5384</v>
      </c>
      <c r="G978" s="6" t="s">
        <v>58</v>
      </c>
      <c r="H978" s="6" t="s">
        <v>84</v>
      </c>
      <c r="I978" s="8" t="s">
        <v>93</v>
      </c>
      <c r="J978" s="9">
        <v>1</v>
      </c>
      <c r="K978" s="9">
        <v>287</v>
      </c>
      <c r="L978" s="9">
        <v>2024</v>
      </c>
      <c r="M978" s="8" t="s">
        <v>5385</v>
      </c>
      <c r="N978" s="8" t="s">
        <v>40</v>
      </c>
      <c r="O978" s="8" t="s">
        <v>41</v>
      </c>
      <c r="P978" s="6" t="s">
        <v>75</v>
      </c>
      <c r="Q978" s="8" t="s">
        <v>96</v>
      </c>
      <c r="R978" s="10" t="s">
        <v>97</v>
      </c>
      <c r="S978" s="11"/>
      <c r="T978" s="6"/>
      <c r="U978" s="28" t="str">
        <f>HYPERLINK("https://media.infra-m.ru/1865/1865662/cover/1865662.jpg", "Обложка")</f>
        <v>Обложка</v>
      </c>
      <c r="V978" s="28" t="str">
        <f>HYPERLINK("https://znanium.ru/catalog/product/1865662", "Ознакомиться")</f>
        <v>Ознакомиться</v>
      </c>
      <c r="W978" s="8" t="s">
        <v>536</v>
      </c>
      <c r="X978" s="6" t="s">
        <v>447</v>
      </c>
      <c r="Y978" s="6"/>
      <c r="Z978" s="6"/>
      <c r="AA978" s="6" t="s">
        <v>100</v>
      </c>
    </row>
    <row r="979" spans="1:27" s="4" customFormat="1" ht="51.95" customHeight="1">
      <c r="A979" s="5">
        <v>0</v>
      </c>
      <c r="B979" s="6" t="s">
        <v>5386</v>
      </c>
      <c r="C979" s="7">
        <v>1692</v>
      </c>
      <c r="D979" s="8" t="s">
        <v>5387</v>
      </c>
      <c r="E979" s="8" t="s">
        <v>5388</v>
      </c>
      <c r="F979" s="8" t="s">
        <v>5389</v>
      </c>
      <c r="G979" s="6" t="s">
        <v>37</v>
      </c>
      <c r="H979" s="6" t="s">
        <v>52</v>
      </c>
      <c r="I979" s="8" t="s">
        <v>120</v>
      </c>
      <c r="J979" s="9">
        <v>1</v>
      </c>
      <c r="K979" s="9">
        <v>300</v>
      </c>
      <c r="L979" s="9">
        <v>2024</v>
      </c>
      <c r="M979" s="8" t="s">
        <v>5390</v>
      </c>
      <c r="N979" s="8" t="s">
        <v>40</v>
      </c>
      <c r="O979" s="8" t="s">
        <v>41</v>
      </c>
      <c r="P979" s="6" t="s">
        <v>75</v>
      </c>
      <c r="Q979" s="8" t="s">
        <v>515</v>
      </c>
      <c r="R979" s="10" t="s">
        <v>234</v>
      </c>
      <c r="S979" s="11" t="s">
        <v>5391</v>
      </c>
      <c r="T979" s="6"/>
      <c r="U979" s="28" t="str">
        <f>HYPERLINK("https://media.infra-m.ru/2099/2099150/cover/2099150.jpg", "Обложка")</f>
        <v>Обложка</v>
      </c>
      <c r="V979" s="28" t="str">
        <f>HYPERLINK("https://znanium.ru/catalog/product/1917600", "Ознакомиться")</f>
        <v>Ознакомиться</v>
      </c>
      <c r="W979" s="8" t="s">
        <v>757</v>
      </c>
      <c r="X979" s="6" t="s">
        <v>264</v>
      </c>
      <c r="Y979" s="6"/>
      <c r="Z979" s="6"/>
      <c r="AA979" s="6" t="s">
        <v>3150</v>
      </c>
    </row>
    <row r="980" spans="1:27" s="4" customFormat="1" ht="51.95" customHeight="1">
      <c r="A980" s="5">
        <v>0</v>
      </c>
      <c r="B980" s="6" t="s">
        <v>5392</v>
      </c>
      <c r="C980" s="7">
        <v>1584</v>
      </c>
      <c r="D980" s="8" t="s">
        <v>5393</v>
      </c>
      <c r="E980" s="8" t="s">
        <v>5394</v>
      </c>
      <c r="F980" s="8" t="s">
        <v>778</v>
      </c>
      <c r="G980" s="6" t="s">
        <v>37</v>
      </c>
      <c r="H980" s="6" t="s">
        <v>84</v>
      </c>
      <c r="I980" s="8" t="s">
        <v>120</v>
      </c>
      <c r="J980" s="9">
        <v>1</v>
      </c>
      <c r="K980" s="9">
        <v>280</v>
      </c>
      <c r="L980" s="9">
        <v>2024</v>
      </c>
      <c r="M980" s="8" t="s">
        <v>5395</v>
      </c>
      <c r="N980" s="8" t="s">
        <v>40</v>
      </c>
      <c r="O980" s="8" t="s">
        <v>41</v>
      </c>
      <c r="P980" s="6" t="s">
        <v>75</v>
      </c>
      <c r="Q980" s="8" t="s">
        <v>76</v>
      </c>
      <c r="R980" s="10" t="s">
        <v>77</v>
      </c>
      <c r="S980" s="11" t="s">
        <v>5396</v>
      </c>
      <c r="T980" s="6"/>
      <c r="U980" s="28" t="str">
        <f>HYPERLINK("https://media.infra-m.ru/2129/2129209/cover/2129209.jpg", "Обложка")</f>
        <v>Обложка</v>
      </c>
      <c r="V980" s="28" t="str">
        <f>HYPERLINK("https://znanium.ru/catalog/product/2129209", "Ознакомиться")</f>
        <v>Ознакомиться</v>
      </c>
      <c r="W980" s="8" t="s">
        <v>781</v>
      </c>
      <c r="X980" s="6"/>
      <c r="Y980" s="6"/>
      <c r="Z980" s="6" t="s">
        <v>4441</v>
      </c>
      <c r="AA980" s="6" t="s">
        <v>137</v>
      </c>
    </row>
    <row r="981" spans="1:27" s="4" customFormat="1" ht="51.95" customHeight="1">
      <c r="A981" s="5">
        <v>0</v>
      </c>
      <c r="B981" s="6" t="s">
        <v>5397</v>
      </c>
      <c r="C981" s="13">
        <v>984</v>
      </c>
      <c r="D981" s="8" t="s">
        <v>5398</v>
      </c>
      <c r="E981" s="8" t="s">
        <v>5383</v>
      </c>
      <c r="F981" s="8" t="s">
        <v>778</v>
      </c>
      <c r="G981" s="6" t="s">
        <v>37</v>
      </c>
      <c r="H981" s="6" t="s">
        <v>191</v>
      </c>
      <c r="I981" s="8" t="s">
        <v>93</v>
      </c>
      <c r="J981" s="9">
        <v>1</v>
      </c>
      <c r="K981" s="9">
        <v>256</v>
      </c>
      <c r="L981" s="9">
        <v>2019</v>
      </c>
      <c r="M981" s="8" t="s">
        <v>5399</v>
      </c>
      <c r="N981" s="8" t="s">
        <v>40</v>
      </c>
      <c r="O981" s="8" t="s">
        <v>41</v>
      </c>
      <c r="P981" s="6" t="s">
        <v>75</v>
      </c>
      <c r="Q981" s="8" t="s">
        <v>96</v>
      </c>
      <c r="R981" s="10" t="s">
        <v>3046</v>
      </c>
      <c r="S981" s="11" t="s">
        <v>5400</v>
      </c>
      <c r="T981" s="6"/>
      <c r="U981" s="28" t="str">
        <f>HYPERLINK("https://media.infra-m.ru/0982/0982775/cover/982775.jpg", "Обложка")</f>
        <v>Обложка</v>
      </c>
      <c r="V981" s="28" t="str">
        <f>HYPERLINK("https://znanium.ru/catalog/product/1852912", "Ознакомиться")</f>
        <v>Ознакомиться</v>
      </c>
      <c r="W981" s="8" t="s">
        <v>781</v>
      </c>
      <c r="X981" s="6"/>
      <c r="Y981" s="6"/>
      <c r="Z981" s="6"/>
      <c r="AA981" s="6" t="s">
        <v>302</v>
      </c>
    </row>
    <row r="982" spans="1:27" s="4" customFormat="1" ht="51.95" customHeight="1">
      <c r="A982" s="5">
        <v>0</v>
      </c>
      <c r="B982" s="6" t="s">
        <v>5401</v>
      </c>
      <c r="C982" s="7">
        <v>1608</v>
      </c>
      <c r="D982" s="8" t="s">
        <v>5402</v>
      </c>
      <c r="E982" s="8" t="s">
        <v>5403</v>
      </c>
      <c r="F982" s="8" t="s">
        <v>5389</v>
      </c>
      <c r="G982" s="6" t="s">
        <v>37</v>
      </c>
      <c r="H982" s="6" t="s">
        <v>52</v>
      </c>
      <c r="I982" s="8" t="s">
        <v>184</v>
      </c>
      <c r="J982" s="9">
        <v>1</v>
      </c>
      <c r="K982" s="9">
        <v>298</v>
      </c>
      <c r="L982" s="9">
        <v>2022</v>
      </c>
      <c r="M982" s="8" t="s">
        <v>5404</v>
      </c>
      <c r="N982" s="8" t="s">
        <v>40</v>
      </c>
      <c r="O982" s="8" t="s">
        <v>41</v>
      </c>
      <c r="P982" s="6" t="s">
        <v>75</v>
      </c>
      <c r="Q982" s="8" t="s">
        <v>76</v>
      </c>
      <c r="R982" s="10" t="s">
        <v>234</v>
      </c>
      <c r="S982" s="11" t="s">
        <v>5391</v>
      </c>
      <c r="T982" s="6"/>
      <c r="U982" s="28" t="str">
        <f>HYPERLINK("https://media.infra-m.ru/1917/1917600/cover/1917600.jpg", "Обложка")</f>
        <v>Обложка</v>
      </c>
      <c r="V982" s="28" t="str">
        <f>HYPERLINK("https://znanium.ru/catalog/product/1917600", "Ознакомиться")</f>
        <v>Ознакомиться</v>
      </c>
      <c r="W982" s="8" t="s">
        <v>757</v>
      </c>
      <c r="X982" s="6"/>
      <c r="Y982" s="6"/>
      <c r="Z982" s="6"/>
      <c r="AA982" s="6" t="s">
        <v>891</v>
      </c>
    </row>
    <row r="983" spans="1:27" s="4" customFormat="1" ht="51.95" customHeight="1">
      <c r="A983" s="5">
        <v>0</v>
      </c>
      <c r="B983" s="6" t="s">
        <v>5405</v>
      </c>
      <c r="C983" s="7">
        <v>1128</v>
      </c>
      <c r="D983" s="8" t="s">
        <v>5406</v>
      </c>
      <c r="E983" s="8" t="s">
        <v>5407</v>
      </c>
      <c r="F983" s="8" t="s">
        <v>5408</v>
      </c>
      <c r="G983" s="6" t="s">
        <v>58</v>
      </c>
      <c r="H983" s="6" t="s">
        <v>84</v>
      </c>
      <c r="I983" s="8" t="s">
        <v>250</v>
      </c>
      <c r="J983" s="9">
        <v>1</v>
      </c>
      <c r="K983" s="9">
        <v>239</v>
      </c>
      <c r="L983" s="9">
        <v>2022</v>
      </c>
      <c r="M983" s="8" t="s">
        <v>5409</v>
      </c>
      <c r="N983" s="8" t="s">
        <v>40</v>
      </c>
      <c r="O983" s="8" t="s">
        <v>41</v>
      </c>
      <c r="P983" s="6" t="s">
        <v>42</v>
      </c>
      <c r="Q983" s="8" t="s">
        <v>43</v>
      </c>
      <c r="R983" s="10" t="s">
        <v>5410</v>
      </c>
      <c r="S983" s="11"/>
      <c r="T983" s="6"/>
      <c r="U983" s="28" t="str">
        <f>HYPERLINK("https://media.infra-m.ru/1692/1692575/cover/1692575.jpg", "Обложка")</f>
        <v>Обложка</v>
      </c>
      <c r="V983" s="28" t="str">
        <f>HYPERLINK("https://znanium.ru/catalog/product/1692575", "Ознакомиться")</f>
        <v>Ознакомиться</v>
      </c>
      <c r="W983" s="8"/>
      <c r="X983" s="6"/>
      <c r="Y983" s="6"/>
      <c r="Z983" s="6"/>
      <c r="AA983" s="6" t="s">
        <v>353</v>
      </c>
    </row>
    <row r="984" spans="1:27" s="4" customFormat="1" ht="51.95" customHeight="1">
      <c r="A984" s="5">
        <v>0</v>
      </c>
      <c r="B984" s="6" t="s">
        <v>5411</v>
      </c>
      <c r="C984" s="7">
        <v>2570.3000000000002</v>
      </c>
      <c r="D984" s="8" t="s">
        <v>5412</v>
      </c>
      <c r="E984" s="8" t="s">
        <v>5413</v>
      </c>
      <c r="F984" s="8" t="s">
        <v>5414</v>
      </c>
      <c r="G984" s="6" t="s">
        <v>58</v>
      </c>
      <c r="H984" s="6" t="s">
        <v>38</v>
      </c>
      <c r="I984" s="8"/>
      <c r="J984" s="9">
        <v>8</v>
      </c>
      <c r="K984" s="9">
        <v>704</v>
      </c>
      <c r="L984" s="9">
        <v>2018</v>
      </c>
      <c r="M984" s="8" t="s">
        <v>5415</v>
      </c>
      <c r="N984" s="8" t="s">
        <v>40</v>
      </c>
      <c r="O984" s="8" t="s">
        <v>41</v>
      </c>
      <c r="P984" s="6" t="s">
        <v>42</v>
      </c>
      <c r="Q984" s="8" t="s">
        <v>76</v>
      </c>
      <c r="R984" s="10" t="s">
        <v>1936</v>
      </c>
      <c r="S984" s="11"/>
      <c r="T984" s="6"/>
      <c r="U984" s="28" t="str">
        <f>HYPERLINK("https://media.infra-m.ru/0958/0958924/cover/958924.jpg", "Обложка")</f>
        <v>Обложка</v>
      </c>
      <c r="V984" s="28" t="str">
        <f>HYPERLINK("https://znanium.ru/catalog/product/1071794", "Ознакомиться")</f>
        <v>Ознакомиться</v>
      </c>
      <c r="W984" s="8" t="s">
        <v>45</v>
      </c>
      <c r="X984" s="6"/>
      <c r="Y984" s="6"/>
      <c r="Z984" s="6"/>
      <c r="AA984" s="6" t="s">
        <v>171</v>
      </c>
    </row>
    <row r="985" spans="1:27" s="4" customFormat="1" ht="42" customHeight="1">
      <c r="A985" s="5">
        <v>0</v>
      </c>
      <c r="B985" s="6" t="s">
        <v>5416</v>
      </c>
      <c r="C985" s="7">
        <v>1704</v>
      </c>
      <c r="D985" s="8" t="s">
        <v>5417</v>
      </c>
      <c r="E985" s="8" t="s">
        <v>5418</v>
      </c>
      <c r="F985" s="8" t="s">
        <v>3573</v>
      </c>
      <c r="G985" s="6" t="s">
        <v>37</v>
      </c>
      <c r="H985" s="6" t="s">
        <v>38</v>
      </c>
      <c r="I985" s="8"/>
      <c r="J985" s="9">
        <v>1</v>
      </c>
      <c r="K985" s="9">
        <v>364</v>
      </c>
      <c r="L985" s="9">
        <v>2022</v>
      </c>
      <c r="M985" s="8" t="s">
        <v>5419</v>
      </c>
      <c r="N985" s="8" t="s">
        <v>40</v>
      </c>
      <c r="O985" s="8" t="s">
        <v>41</v>
      </c>
      <c r="P985" s="6" t="s">
        <v>42</v>
      </c>
      <c r="Q985" s="8" t="s">
        <v>43</v>
      </c>
      <c r="R985" s="10" t="s">
        <v>69</v>
      </c>
      <c r="S985" s="11"/>
      <c r="T985" s="6"/>
      <c r="U985" s="28" t="str">
        <f>HYPERLINK("https://media.infra-m.ru/1862/1862400/cover/1862400.jpg", "Обложка")</f>
        <v>Обложка</v>
      </c>
      <c r="V985" s="28" t="str">
        <f>HYPERLINK("https://znanium.ru/catalog/product/1926364", "Ознакомиться")</f>
        <v>Ознакомиться</v>
      </c>
      <c r="W985" s="8" t="s">
        <v>78</v>
      </c>
      <c r="X985" s="6"/>
      <c r="Y985" s="6"/>
      <c r="Z985" s="6"/>
      <c r="AA985" s="6" t="s">
        <v>353</v>
      </c>
    </row>
    <row r="986" spans="1:27" s="4" customFormat="1" ht="42" customHeight="1">
      <c r="A986" s="5">
        <v>0</v>
      </c>
      <c r="B986" s="6" t="s">
        <v>5420</v>
      </c>
      <c r="C986" s="7">
        <v>2292</v>
      </c>
      <c r="D986" s="8" t="s">
        <v>5421</v>
      </c>
      <c r="E986" s="8" t="s">
        <v>5422</v>
      </c>
      <c r="F986" s="8" t="s">
        <v>3573</v>
      </c>
      <c r="G986" s="6" t="s">
        <v>37</v>
      </c>
      <c r="H986" s="6" t="s">
        <v>38</v>
      </c>
      <c r="I986" s="8"/>
      <c r="J986" s="9">
        <v>1</v>
      </c>
      <c r="K986" s="9">
        <v>424</v>
      </c>
      <c r="L986" s="9">
        <v>2023</v>
      </c>
      <c r="M986" s="8" t="s">
        <v>5423</v>
      </c>
      <c r="N986" s="8" t="s">
        <v>40</v>
      </c>
      <c r="O986" s="8" t="s">
        <v>41</v>
      </c>
      <c r="P986" s="6" t="s">
        <v>42</v>
      </c>
      <c r="Q986" s="8" t="s">
        <v>43</v>
      </c>
      <c r="R986" s="10" t="s">
        <v>69</v>
      </c>
      <c r="S986" s="11"/>
      <c r="T986" s="6"/>
      <c r="U986" s="28" t="str">
        <f>HYPERLINK("https://media.infra-m.ru/1926/1926364/cover/1926364.jpg", "Обложка")</f>
        <v>Обложка</v>
      </c>
      <c r="V986" s="28" t="str">
        <f>HYPERLINK("https://znanium.ru/catalog/product/1926364", "Ознакомиться")</f>
        <v>Ознакомиться</v>
      </c>
      <c r="W986" s="8" t="s">
        <v>78</v>
      </c>
      <c r="X986" s="6"/>
      <c r="Y986" s="6"/>
      <c r="Z986" s="6"/>
      <c r="AA986" s="6" t="s">
        <v>137</v>
      </c>
    </row>
    <row r="987" spans="1:27" s="4" customFormat="1" ht="42" customHeight="1">
      <c r="A987" s="5">
        <v>0</v>
      </c>
      <c r="B987" s="6" t="s">
        <v>5424</v>
      </c>
      <c r="C987" s="7">
        <v>1236</v>
      </c>
      <c r="D987" s="8" t="s">
        <v>5425</v>
      </c>
      <c r="E987" s="8" t="s">
        <v>5426</v>
      </c>
      <c r="F987" s="8" t="s">
        <v>5427</v>
      </c>
      <c r="G987" s="6" t="s">
        <v>37</v>
      </c>
      <c r="H987" s="6" t="s">
        <v>38</v>
      </c>
      <c r="I987" s="8"/>
      <c r="J987" s="9">
        <v>1</v>
      </c>
      <c r="K987" s="9">
        <v>224</v>
      </c>
      <c r="L987" s="9">
        <v>2024</v>
      </c>
      <c r="M987" s="8" t="s">
        <v>5428</v>
      </c>
      <c r="N987" s="8" t="s">
        <v>40</v>
      </c>
      <c r="O987" s="8" t="s">
        <v>41</v>
      </c>
      <c r="P987" s="6" t="s">
        <v>42</v>
      </c>
      <c r="Q987" s="8" t="s">
        <v>43</v>
      </c>
      <c r="R987" s="10" t="s">
        <v>308</v>
      </c>
      <c r="S987" s="11"/>
      <c r="T987" s="6" t="s">
        <v>378</v>
      </c>
      <c r="U987" s="28" t="str">
        <f>HYPERLINK("https://media.infra-m.ru/2126/2126342/cover/2126342.jpg", "Обложка")</f>
        <v>Обложка</v>
      </c>
      <c r="V987" s="28" t="str">
        <f>HYPERLINK("https://znanium.ru/catalog/product/2126342", "Ознакомиться")</f>
        <v>Ознакомиться</v>
      </c>
      <c r="W987" s="8" t="s">
        <v>236</v>
      </c>
      <c r="X987" s="6"/>
      <c r="Y987" s="6"/>
      <c r="Z987" s="6"/>
      <c r="AA987" s="6" t="s">
        <v>46</v>
      </c>
    </row>
    <row r="988" spans="1:27" s="4" customFormat="1" ht="51.95" customHeight="1">
      <c r="A988" s="5">
        <v>0</v>
      </c>
      <c r="B988" s="6" t="s">
        <v>5429</v>
      </c>
      <c r="C988" s="7">
        <v>1860</v>
      </c>
      <c r="D988" s="8" t="s">
        <v>5430</v>
      </c>
      <c r="E988" s="8" t="s">
        <v>5431</v>
      </c>
      <c r="F988" s="8" t="s">
        <v>1584</v>
      </c>
      <c r="G988" s="6" t="s">
        <v>37</v>
      </c>
      <c r="H988" s="6" t="s">
        <v>38</v>
      </c>
      <c r="I988" s="8"/>
      <c r="J988" s="9">
        <v>1</v>
      </c>
      <c r="K988" s="9">
        <v>344</v>
      </c>
      <c r="L988" s="9">
        <v>2023</v>
      </c>
      <c r="M988" s="8" t="s">
        <v>5432</v>
      </c>
      <c r="N988" s="8" t="s">
        <v>40</v>
      </c>
      <c r="O988" s="8" t="s">
        <v>41</v>
      </c>
      <c r="P988" s="6" t="s">
        <v>299</v>
      </c>
      <c r="Q988" s="8" t="s">
        <v>43</v>
      </c>
      <c r="R988" s="10" t="s">
        <v>5433</v>
      </c>
      <c r="S988" s="11"/>
      <c r="T988" s="6"/>
      <c r="U988" s="28" t="str">
        <f>HYPERLINK("https://media.infra-m.ru/1904/1904427/cover/1904427.jpg", "Обложка")</f>
        <v>Обложка</v>
      </c>
      <c r="V988" s="28" t="str">
        <f>HYPERLINK("https://znanium.ru/catalog/product/1904427", "Ознакомиться")</f>
        <v>Ознакомиться</v>
      </c>
      <c r="W988" s="8" t="s">
        <v>45</v>
      </c>
      <c r="X988" s="6"/>
      <c r="Y988" s="6"/>
      <c r="Z988" s="6"/>
      <c r="AA988" s="6" t="s">
        <v>353</v>
      </c>
    </row>
    <row r="989" spans="1:27" s="4" customFormat="1" ht="51.95" customHeight="1">
      <c r="A989" s="5">
        <v>0</v>
      </c>
      <c r="B989" s="6" t="s">
        <v>5434</v>
      </c>
      <c r="C989" s="7">
        <v>1672.8</v>
      </c>
      <c r="D989" s="8" t="s">
        <v>5435</v>
      </c>
      <c r="E989" s="8" t="s">
        <v>5436</v>
      </c>
      <c r="F989" s="8" t="s">
        <v>5437</v>
      </c>
      <c r="G989" s="6" t="s">
        <v>26</v>
      </c>
      <c r="H989" s="6" t="s">
        <v>38</v>
      </c>
      <c r="I989" s="8" t="s">
        <v>2614</v>
      </c>
      <c r="J989" s="9">
        <v>1</v>
      </c>
      <c r="K989" s="9">
        <v>352</v>
      </c>
      <c r="L989" s="9">
        <v>2024</v>
      </c>
      <c r="M989" s="8" t="s">
        <v>5438</v>
      </c>
      <c r="N989" s="8" t="s">
        <v>40</v>
      </c>
      <c r="O989" s="8" t="s">
        <v>41</v>
      </c>
      <c r="P989" s="6" t="s">
        <v>2610</v>
      </c>
      <c r="Q989" s="8" t="s">
        <v>76</v>
      </c>
      <c r="R989" s="10" t="s">
        <v>1936</v>
      </c>
      <c r="S989" s="11" t="s">
        <v>5439</v>
      </c>
      <c r="T989" s="6"/>
      <c r="U989" s="28" t="str">
        <f>HYPERLINK("https://media.infra-m.ru/2053/2053239/cover/2053239.jpg", "Обложка")</f>
        <v>Обложка</v>
      </c>
      <c r="V989" s="28" t="str">
        <f>HYPERLINK("https://znanium.ru/catalog/product/1228811", "Ознакомиться")</f>
        <v>Ознакомиться</v>
      </c>
      <c r="W989" s="8" t="s">
        <v>124</v>
      </c>
      <c r="X989" s="6"/>
      <c r="Y989" s="6"/>
      <c r="Z989" s="6"/>
      <c r="AA989" s="6" t="s">
        <v>5440</v>
      </c>
    </row>
    <row r="990" spans="1:27" s="4" customFormat="1" ht="42" customHeight="1">
      <c r="A990" s="5">
        <v>0</v>
      </c>
      <c r="B990" s="6" t="s">
        <v>5441</v>
      </c>
      <c r="C990" s="13">
        <v>797.9</v>
      </c>
      <c r="D990" s="8" t="s">
        <v>5442</v>
      </c>
      <c r="E990" s="8" t="s">
        <v>5443</v>
      </c>
      <c r="F990" s="8" t="s">
        <v>5444</v>
      </c>
      <c r="G990" s="6" t="s">
        <v>51</v>
      </c>
      <c r="H990" s="6" t="s">
        <v>38</v>
      </c>
      <c r="I990" s="8" t="s">
        <v>1769</v>
      </c>
      <c r="J990" s="9">
        <v>1</v>
      </c>
      <c r="K990" s="9">
        <v>208</v>
      </c>
      <c r="L990" s="9">
        <v>2022</v>
      </c>
      <c r="M990" s="8" t="s">
        <v>5445</v>
      </c>
      <c r="N990" s="8" t="s">
        <v>40</v>
      </c>
      <c r="O990" s="8" t="s">
        <v>41</v>
      </c>
      <c r="P990" s="6" t="s">
        <v>2610</v>
      </c>
      <c r="Q990" s="8" t="s">
        <v>76</v>
      </c>
      <c r="R990" s="10" t="s">
        <v>308</v>
      </c>
      <c r="S990" s="11"/>
      <c r="T990" s="6"/>
      <c r="U990" s="28" t="str">
        <f>HYPERLINK("https://media.infra-m.ru/1852/1852232/cover/1852232.jpg", "Обложка")</f>
        <v>Обложка</v>
      </c>
      <c r="V990" s="28" t="str">
        <f>HYPERLINK("https://znanium.ru/catalog/product/1852232", "Ознакомиться")</f>
        <v>Ознакомиться</v>
      </c>
      <c r="W990" s="8" t="s">
        <v>385</v>
      </c>
      <c r="X990" s="6"/>
      <c r="Y990" s="6"/>
      <c r="Z990" s="6"/>
      <c r="AA990" s="6" t="s">
        <v>302</v>
      </c>
    </row>
    <row r="991" spans="1:27" s="4" customFormat="1" ht="51.95" customHeight="1">
      <c r="A991" s="5">
        <v>0</v>
      </c>
      <c r="B991" s="6" t="s">
        <v>5446</v>
      </c>
      <c r="C991" s="7">
        <v>1308</v>
      </c>
      <c r="D991" s="8" t="s">
        <v>5447</v>
      </c>
      <c r="E991" s="8" t="s">
        <v>5448</v>
      </c>
      <c r="F991" s="8" t="s">
        <v>5449</v>
      </c>
      <c r="G991" s="6" t="s">
        <v>37</v>
      </c>
      <c r="H991" s="6" t="s">
        <v>84</v>
      </c>
      <c r="I991" s="8" t="s">
        <v>5450</v>
      </c>
      <c r="J991" s="9">
        <v>1</v>
      </c>
      <c r="K991" s="9">
        <v>219</v>
      </c>
      <c r="L991" s="9">
        <v>2024</v>
      </c>
      <c r="M991" s="8" t="s">
        <v>5451</v>
      </c>
      <c r="N991" s="8" t="s">
        <v>40</v>
      </c>
      <c r="O991" s="8" t="s">
        <v>41</v>
      </c>
      <c r="P991" s="6" t="s">
        <v>2003</v>
      </c>
      <c r="Q991" s="8" t="s">
        <v>2124</v>
      </c>
      <c r="R991" s="10" t="s">
        <v>488</v>
      </c>
      <c r="S991" s="11"/>
      <c r="T991" s="6"/>
      <c r="U991" s="28" t="str">
        <f>HYPERLINK("https://media.infra-m.ru/2119/2119560/cover/2119560.jpg", "Обложка")</f>
        <v>Обложка</v>
      </c>
      <c r="V991" s="28" t="str">
        <f>HYPERLINK("https://znanium.ru/catalog/product/1859922", "Ознакомиться")</f>
        <v>Ознакомиться</v>
      </c>
      <c r="W991" s="8" t="s">
        <v>5452</v>
      </c>
      <c r="X991" s="6"/>
      <c r="Y991" s="6"/>
      <c r="Z991" s="6"/>
      <c r="AA991" s="6" t="s">
        <v>100</v>
      </c>
    </row>
    <row r="992" spans="1:27" s="4" customFormat="1" ht="51.95" customHeight="1">
      <c r="A992" s="5">
        <v>0</v>
      </c>
      <c r="B992" s="6" t="s">
        <v>5453</v>
      </c>
      <c r="C992" s="13">
        <v>953.9</v>
      </c>
      <c r="D992" s="8" t="s">
        <v>5454</v>
      </c>
      <c r="E992" s="8" t="s">
        <v>5455</v>
      </c>
      <c r="F992" s="8" t="s">
        <v>5456</v>
      </c>
      <c r="G992" s="6" t="s">
        <v>58</v>
      </c>
      <c r="H992" s="6" t="s">
        <v>38</v>
      </c>
      <c r="I992" s="8"/>
      <c r="J992" s="9">
        <v>1</v>
      </c>
      <c r="K992" s="9">
        <v>192</v>
      </c>
      <c r="L992" s="9">
        <v>2022</v>
      </c>
      <c r="M992" s="8" t="s">
        <v>5457</v>
      </c>
      <c r="N992" s="8" t="s">
        <v>40</v>
      </c>
      <c r="O992" s="8" t="s">
        <v>41</v>
      </c>
      <c r="P992" s="6" t="s">
        <v>2610</v>
      </c>
      <c r="Q992" s="8" t="s">
        <v>515</v>
      </c>
      <c r="R992" s="10" t="s">
        <v>122</v>
      </c>
      <c r="S992" s="11"/>
      <c r="T992" s="6"/>
      <c r="U992" s="28" t="str">
        <f>HYPERLINK("https://media.infra-m.ru/1863/1863803/cover/1863803.jpg", "Обложка")</f>
        <v>Обложка</v>
      </c>
      <c r="V992" s="28" t="str">
        <f>HYPERLINK("https://znanium.ru/catalog/product/1421917", "Ознакомиться")</f>
        <v>Ознакомиться</v>
      </c>
      <c r="W992" s="8" t="s">
        <v>114</v>
      </c>
      <c r="X992" s="6"/>
      <c r="Y992" s="6"/>
      <c r="Z992" s="6"/>
      <c r="AA992" s="6" t="s">
        <v>79</v>
      </c>
    </row>
    <row r="993" spans="1:27" s="4" customFormat="1" ht="51.95" customHeight="1">
      <c r="A993" s="5">
        <v>0</v>
      </c>
      <c r="B993" s="6" t="s">
        <v>5458</v>
      </c>
      <c r="C993" s="13">
        <v>852</v>
      </c>
      <c r="D993" s="8" t="s">
        <v>5459</v>
      </c>
      <c r="E993" s="8" t="s">
        <v>5455</v>
      </c>
      <c r="F993" s="8" t="s">
        <v>5456</v>
      </c>
      <c r="G993" s="6" t="s">
        <v>37</v>
      </c>
      <c r="H993" s="6" t="s">
        <v>38</v>
      </c>
      <c r="I993" s="8"/>
      <c r="J993" s="9">
        <v>1</v>
      </c>
      <c r="K993" s="9">
        <v>144</v>
      </c>
      <c r="L993" s="9">
        <v>2024</v>
      </c>
      <c r="M993" s="8" t="s">
        <v>5460</v>
      </c>
      <c r="N993" s="8" t="s">
        <v>40</v>
      </c>
      <c r="O993" s="8" t="s">
        <v>41</v>
      </c>
      <c r="P993" s="6" t="s">
        <v>75</v>
      </c>
      <c r="Q993" s="8" t="s">
        <v>76</v>
      </c>
      <c r="R993" s="10" t="s">
        <v>122</v>
      </c>
      <c r="S993" s="11"/>
      <c r="T993" s="6"/>
      <c r="U993" s="28" t="str">
        <f>HYPERLINK("https://media.infra-m.ru/2132/2132117/cover/2132117.jpg", "Обложка")</f>
        <v>Обложка</v>
      </c>
      <c r="V993" s="28" t="str">
        <f>HYPERLINK("https://znanium.ru/catalog/product/2132117", "Ознакомиться")</f>
        <v>Ознакомиться</v>
      </c>
      <c r="W993" s="8" t="s">
        <v>114</v>
      </c>
      <c r="X993" s="6"/>
      <c r="Y993" s="6"/>
      <c r="Z993" s="6"/>
      <c r="AA993" s="6" t="s">
        <v>46</v>
      </c>
    </row>
    <row r="994" spans="1:27" s="4" customFormat="1" ht="51.95" customHeight="1">
      <c r="A994" s="5">
        <v>0</v>
      </c>
      <c r="B994" s="6" t="s">
        <v>5461</v>
      </c>
      <c r="C994" s="13">
        <v>372</v>
      </c>
      <c r="D994" s="8" t="s">
        <v>5462</v>
      </c>
      <c r="E994" s="8" t="s">
        <v>5463</v>
      </c>
      <c r="F994" s="8" t="s">
        <v>5464</v>
      </c>
      <c r="G994" s="6" t="s">
        <v>51</v>
      </c>
      <c r="H994" s="6" t="s">
        <v>1284</v>
      </c>
      <c r="I994" s="8"/>
      <c r="J994" s="9">
        <v>1</v>
      </c>
      <c r="K994" s="9">
        <v>96</v>
      </c>
      <c r="L994" s="9">
        <v>2019</v>
      </c>
      <c r="M994" s="8" t="s">
        <v>5465</v>
      </c>
      <c r="N994" s="8" t="s">
        <v>40</v>
      </c>
      <c r="O994" s="8" t="s">
        <v>41</v>
      </c>
      <c r="P994" s="6" t="s">
        <v>4419</v>
      </c>
      <c r="Q994" s="8" t="s">
        <v>76</v>
      </c>
      <c r="R994" s="10" t="s">
        <v>122</v>
      </c>
      <c r="S994" s="11"/>
      <c r="T994" s="6"/>
      <c r="U994" s="28" t="str">
        <f>HYPERLINK("https://media.infra-m.ru/1037/1037768/cover/1037768.jpg", "Обложка")</f>
        <v>Обложка</v>
      </c>
      <c r="V994" s="28" t="str">
        <f>HYPERLINK("https://znanium.ru/catalog/product/1037768", "Ознакомиться")</f>
        <v>Ознакомиться</v>
      </c>
      <c r="W994" s="8"/>
      <c r="X994" s="6"/>
      <c r="Y994" s="6"/>
      <c r="Z994" s="6"/>
      <c r="AA994" s="6" t="s">
        <v>148</v>
      </c>
    </row>
    <row r="995" spans="1:27" s="4" customFormat="1" ht="51.95" customHeight="1">
      <c r="A995" s="5">
        <v>0</v>
      </c>
      <c r="B995" s="6" t="s">
        <v>5466</v>
      </c>
      <c r="C995" s="7">
        <v>4440</v>
      </c>
      <c r="D995" s="8" t="s">
        <v>5467</v>
      </c>
      <c r="E995" s="8" t="s">
        <v>5468</v>
      </c>
      <c r="F995" s="8" t="s">
        <v>5469</v>
      </c>
      <c r="G995" s="6" t="s">
        <v>58</v>
      </c>
      <c r="H995" s="6" t="s">
        <v>38</v>
      </c>
      <c r="I995" s="8"/>
      <c r="J995" s="9">
        <v>1</v>
      </c>
      <c r="K995" s="9">
        <v>808</v>
      </c>
      <c r="L995" s="9">
        <v>2024</v>
      </c>
      <c r="M995" s="8" t="s">
        <v>5470</v>
      </c>
      <c r="N995" s="8" t="s">
        <v>40</v>
      </c>
      <c r="O995" s="8" t="s">
        <v>41</v>
      </c>
      <c r="P995" s="6" t="s">
        <v>95</v>
      </c>
      <c r="Q995" s="8" t="s">
        <v>43</v>
      </c>
      <c r="R995" s="10" t="s">
        <v>5471</v>
      </c>
      <c r="S995" s="11"/>
      <c r="T995" s="6"/>
      <c r="U995" s="28" t="str">
        <f>HYPERLINK("https://media.infra-m.ru/2128/2128415/cover/2128415.jpg", "Обложка")</f>
        <v>Обложка</v>
      </c>
      <c r="V995" s="12"/>
      <c r="W995" s="8" t="s">
        <v>423</v>
      </c>
      <c r="X995" s="6"/>
      <c r="Y995" s="6"/>
      <c r="Z995" s="6"/>
      <c r="AA995" s="6" t="s">
        <v>3150</v>
      </c>
    </row>
    <row r="996" spans="1:27" s="4" customFormat="1" ht="51.95" customHeight="1">
      <c r="A996" s="5">
        <v>0</v>
      </c>
      <c r="B996" s="6" t="s">
        <v>5472</v>
      </c>
      <c r="C996" s="7">
        <v>2340</v>
      </c>
      <c r="D996" s="8" t="s">
        <v>5473</v>
      </c>
      <c r="E996" s="8" t="s">
        <v>5474</v>
      </c>
      <c r="F996" s="8" t="s">
        <v>5469</v>
      </c>
      <c r="G996" s="6" t="s">
        <v>58</v>
      </c>
      <c r="H996" s="6" t="s">
        <v>38</v>
      </c>
      <c r="I996" s="8"/>
      <c r="J996" s="9">
        <v>1</v>
      </c>
      <c r="K996" s="9">
        <v>440</v>
      </c>
      <c r="L996" s="9">
        <v>2024</v>
      </c>
      <c r="M996" s="8" t="s">
        <v>5475</v>
      </c>
      <c r="N996" s="8" t="s">
        <v>40</v>
      </c>
      <c r="O996" s="8" t="s">
        <v>41</v>
      </c>
      <c r="P996" s="6" t="s">
        <v>95</v>
      </c>
      <c r="Q996" s="8" t="s">
        <v>515</v>
      </c>
      <c r="R996" s="10" t="s">
        <v>5471</v>
      </c>
      <c r="S996" s="11"/>
      <c r="T996" s="6"/>
      <c r="U996" s="28" t="str">
        <f>HYPERLINK("https://media.infra-m.ru/2055/2055767/cover/2055767.jpg", "Обложка")</f>
        <v>Обложка</v>
      </c>
      <c r="V996" s="12"/>
      <c r="W996" s="8" t="s">
        <v>423</v>
      </c>
      <c r="X996" s="6" t="s">
        <v>99</v>
      </c>
      <c r="Y996" s="6"/>
      <c r="Z996" s="6"/>
      <c r="AA996" s="6" t="s">
        <v>3150</v>
      </c>
    </row>
    <row r="997" spans="1:27" s="4" customFormat="1" ht="51.95" customHeight="1">
      <c r="A997" s="5">
        <v>0</v>
      </c>
      <c r="B997" s="6" t="s">
        <v>5476</v>
      </c>
      <c r="C997" s="7">
        <v>2676</v>
      </c>
      <c r="D997" s="8" t="s">
        <v>5477</v>
      </c>
      <c r="E997" s="8" t="s">
        <v>5478</v>
      </c>
      <c r="F997" s="8" t="s">
        <v>5479</v>
      </c>
      <c r="G997" s="6" t="s">
        <v>58</v>
      </c>
      <c r="H997" s="6" t="s">
        <v>84</v>
      </c>
      <c r="I997" s="8" t="s">
        <v>120</v>
      </c>
      <c r="J997" s="9">
        <v>1</v>
      </c>
      <c r="K997" s="9">
        <v>478</v>
      </c>
      <c r="L997" s="9">
        <v>2024</v>
      </c>
      <c r="M997" s="8" t="s">
        <v>5480</v>
      </c>
      <c r="N997" s="8" t="s">
        <v>40</v>
      </c>
      <c r="O997" s="8" t="s">
        <v>41</v>
      </c>
      <c r="P997" s="6" t="s">
        <v>95</v>
      </c>
      <c r="Q997" s="8" t="s">
        <v>76</v>
      </c>
      <c r="R997" s="10" t="s">
        <v>113</v>
      </c>
      <c r="S997" s="11" t="s">
        <v>5481</v>
      </c>
      <c r="T997" s="6"/>
      <c r="U997" s="28" t="str">
        <f>HYPERLINK("https://media.infra-m.ru/2129/2129659/cover/2129659.jpg", "Обложка")</f>
        <v>Обложка</v>
      </c>
      <c r="V997" s="28" t="str">
        <f>HYPERLINK("https://znanium.ru/catalog/product/2129659", "Ознакомиться")</f>
        <v>Ознакомиться</v>
      </c>
      <c r="W997" s="8" t="s">
        <v>1148</v>
      </c>
      <c r="X997" s="6"/>
      <c r="Y997" s="6"/>
      <c r="Z997" s="6"/>
      <c r="AA997" s="6" t="s">
        <v>62</v>
      </c>
    </row>
    <row r="998" spans="1:27" s="4" customFormat="1" ht="51.95" customHeight="1">
      <c r="A998" s="5">
        <v>0</v>
      </c>
      <c r="B998" s="6" t="s">
        <v>5482</v>
      </c>
      <c r="C998" s="7">
        <v>2656.8</v>
      </c>
      <c r="D998" s="8" t="s">
        <v>5483</v>
      </c>
      <c r="E998" s="8" t="s">
        <v>5478</v>
      </c>
      <c r="F998" s="8" t="s">
        <v>5484</v>
      </c>
      <c r="G998" s="6" t="s">
        <v>58</v>
      </c>
      <c r="H998" s="6" t="s">
        <v>436</v>
      </c>
      <c r="I998" s="8" t="s">
        <v>5260</v>
      </c>
      <c r="J998" s="9">
        <v>1</v>
      </c>
      <c r="K998" s="9">
        <v>480</v>
      </c>
      <c r="L998" s="9">
        <v>2024</v>
      </c>
      <c r="M998" s="8" t="s">
        <v>5485</v>
      </c>
      <c r="N998" s="8" t="s">
        <v>40</v>
      </c>
      <c r="O998" s="8" t="s">
        <v>41</v>
      </c>
      <c r="P998" s="6" t="s">
        <v>75</v>
      </c>
      <c r="Q998" s="8" t="s">
        <v>76</v>
      </c>
      <c r="R998" s="10" t="s">
        <v>5486</v>
      </c>
      <c r="S998" s="11" t="s">
        <v>5487</v>
      </c>
      <c r="T998" s="6"/>
      <c r="U998" s="28" t="str">
        <f>HYPERLINK("https://media.infra-m.ru/2118/2118055/cover/2118055.jpg", "Обложка")</f>
        <v>Обложка</v>
      </c>
      <c r="V998" s="12"/>
      <c r="W998" s="8" t="s">
        <v>3991</v>
      </c>
      <c r="X998" s="6"/>
      <c r="Y998" s="6"/>
      <c r="Z998" s="6"/>
      <c r="AA998" s="6" t="s">
        <v>302</v>
      </c>
    </row>
    <row r="999" spans="1:27" s="4" customFormat="1" ht="51.95" customHeight="1">
      <c r="A999" s="5">
        <v>0</v>
      </c>
      <c r="B999" s="6" t="s">
        <v>5488</v>
      </c>
      <c r="C999" s="7">
        <v>1193.9000000000001</v>
      </c>
      <c r="D999" s="8" t="s">
        <v>5489</v>
      </c>
      <c r="E999" s="8" t="s">
        <v>5490</v>
      </c>
      <c r="F999" s="8" t="s">
        <v>876</v>
      </c>
      <c r="G999" s="6" t="s">
        <v>51</v>
      </c>
      <c r="H999" s="6" t="s">
        <v>38</v>
      </c>
      <c r="I999" s="8"/>
      <c r="J999" s="9">
        <v>1</v>
      </c>
      <c r="K999" s="9">
        <v>240</v>
      </c>
      <c r="L999" s="9">
        <v>2023</v>
      </c>
      <c r="M999" s="8" t="s">
        <v>5491</v>
      </c>
      <c r="N999" s="8" t="s">
        <v>40</v>
      </c>
      <c r="O999" s="8" t="s">
        <v>41</v>
      </c>
      <c r="P999" s="6" t="s">
        <v>42</v>
      </c>
      <c r="Q999" s="8" t="s">
        <v>43</v>
      </c>
      <c r="R999" s="10" t="s">
        <v>5492</v>
      </c>
      <c r="S999" s="11"/>
      <c r="T999" s="6"/>
      <c r="U999" s="28" t="str">
        <f>HYPERLINK("https://media.infra-m.ru/1876/1876388/cover/1876388.jpg", "Обложка")</f>
        <v>Обложка</v>
      </c>
      <c r="V999" s="28" t="str">
        <f>HYPERLINK("https://znanium.ru/catalog/product/989509", "Ознакомиться")</f>
        <v>Ознакомиться</v>
      </c>
      <c r="W999" s="8" t="s">
        <v>757</v>
      </c>
      <c r="X999" s="6"/>
      <c r="Y999" s="6"/>
      <c r="Z999" s="6"/>
      <c r="AA999" s="6" t="s">
        <v>302</v>
      </c>
    </row>
    <row r="1000" spans="1:27" s="4" customFormat="1" ht="42" customHeight="1">
      <c r="A1000" s="5">
        <v>0</v>
      </c>
      <c r="B1000" s="6" t="s">
        <v>5493</v>
      </c>
      <c r="C1000" s="7">
        <v>1013.9</v>
      </c>
      <c r="D1000" s="8" t="s">
        <v>5494</v>
      </c>
      <c r="E1000" s="8" t="s">
        <v>5495</v>
      </c>
      <c r="F1000" s="8" t="s">
        <v>5496</v>
      </c>
      <c r="G1000" s="6" t="s">
        <v>51</v>
      </c>
      <c r="H1000" s="6" t="s">
        <v>84</v>
      </c>
      <c r="I1000" s="8" t="s">
        <v>85</v>
      </c>
      <c r="J1000" s="9">
        <v>1</v>
      </c>
      <c r="K1000" s="9">
        <v>240</v>
      </c>
      <c r="L1000" s="9">
        <v>2020</v>
      </c>
      <c r="M1000" s="8" t="s">
        <v>5497</v>
      </c>
      <c r="N1000" s="8" t="s">
        <v>40</v>
      </c>
      <c r="O1000" s="8" t="s">
        <v>41</v>
      </c>
      <c r="P1000" s="6" t="s">
        <v>75</v>
      </c>
      <c r="Q1000" s="8" t="s">
        <v>43</v>
      </c>
      <c r="R1000" s="10" t="s">
        <v>314</v>
      </c>
      <c r="S1000" s="11"/>
      <c r="T1000" s="6"/>
      <c r="U1000" s="28" t="str">
        <f>HYPERLINK("https://media.infra-m.ru/1094/1094541/cover/1094541.jpg", "Обложка")</f>
        <v>Обложка</v>
      </c>
      <c r="V1000" s="28" t="str">
        <f>HYPERLINK("https://znanium.ru/catalog/product/884467", "Ознакомиться")</f>
        <v>Ознакомиться</v>
      </c>
      <c r="W1000" s="8" t="s">
        <v>743</v>
      </c>
      <c r="X1000" s="6"/>
      <c r="Y1000" s="6"/>
      <c r="Z1000" s="6"/>
      <c r="AA1000" s="6" t="s">
        <v>293</v>
      </c>
    </row>
    <row r="1001" spans="1:27" s="4" customFormat="1" ht="44.1" customHeight="1">
      <c r="A1001" s="5">
        <v>0</v>
      </c>
      <c r="B1001" s="6" t="s">
        <v>5498</v>
      </c>
      <c r="C1001" s="13">
        <v>581.9</v>
      </c>
      <c r="D1001" s="8" t="s">
        <v>5499</v>
      </c>
      <c r="E1001" s="8" t="s">
        <v>5500</v>
      </c>
      <c r="F1001" s="8" t="s">
        <v>5501</v>
      </c>
      <c r="G1001" s="6" t="s">
        <v>51</v>
      </c>
      <c r="H1001" s="6" t="s">
        <v>52</v>
      </c>
      <c r="I1001" s="8"/>
      <c r="J1001" s="9">
        <v>1</v>
      </c>
      <c r="K1001" s="9">
        <v>118</v>
      </c>
      <c r="L1001" s="9">
        <v>2021</v>
      </c>
      <c r="M1001" s="8" t="s">
        <v>5502</v>
      </c>
      <c r="N1001" s="8" t="s">
        <v>40</v>
      </c>
      <c r="O1001" s="8" t="s">
        <v>41</v>
      </c>
      <c r="P1001" s="6" t="s">
        <v>42</v>
      </c>
      <c r="Q1001" s="8" t="s">
        <v>43</v>
      </c>
      <c r="R1001" s="10" t="s">
        <v>5503</v>
      </c>
      <c r="S1001" s="11"/>
      <c r="T1001" s="6"/>
      <c r="U1001" s="28" t="str">
        <f>HYPERLINK("https://media.infra-m.ru/1844/1844468/cover/1844468.jpg", "Обложка")</f>
        <v>Обложка</v>
      </c>
      <c r="V1001" s="28" t="str">
        <f>HYPERLINK("https://znanium.ru/catalog/product/1222072", "Ознакомиться")</f>
        <v>Ознакомиться</v>
      </c>
      <c r="W1001" s="8" t="s">
        <v>4421</v>
      </c>
      <c r="X1001" s="6"/>
      <c r="Y1001" s="6"/>
      <c r="Z1001" s="6"/>
      <c r="AA1001" s="6" t="s">
        <v>46</v>
      </c>
    </row>
    <row r="1002" spans="1:27" s="4" customFormat="1" ht="42" customHeight="1">
      <c r="A1002" s="5">
        <v>0</v>
      </c>
      <c r="B1002" s="6" t="s">
        <v>5504</v>
      </c>
      <c r="C1002" s="7">
        <v>1104</v>
      </c>
      <c r="D1002" s="8" t="s">
        <v>5505</v>
      </c>
      <c r="E1002" s="8" t="s">
        <v>5506</v>
      </c>
      <c r="F1002" s="8" t="s">
        <v>5507</v>
      </c>
      <c r="G1002" s="6" t="s">
        <v>37</v>
      </c>
      <c r="H1002" s="6" t="s">
        <v>84</v>
      </c>
      <c r="I1002" s="8"/>
      <c r="J1002" s="9">
        <v>1</v>
      </c>
      <c r="K1002" s="9">
        <v>249</v>
      </c>
      <c r="L1002" s="9">
        <v>2021</v>
      </c>
      <c r="M1002" s="8" t="s">
        <v>5508</v>
      </c>
      <c r="N1002" s="8" t="s">
        <v>40</v>
      </c>
      <c r="O1002" s="8" t="s">
        <v>41</v>
      </c>
      <c r="P1002" s="6" t="s">
        <v>42</v>
      </c>
      <c r="Q1002" s="8" t="s">
        <v>43</v>
      </c>
      <c r="R1002" s="10" t="s">
        <v>308</v>
      </c>
      <c r="S1002" s="11"/>
      <c r="T1002" s="6"/>
      <c r="U1002" s="28" t="str">
        <f>HYPERLINK("https://media.infra-m.ru/1230/1230615/cover/1230615.jpg", "Обложка")</f>
        <v>Обложка</v>
      </c>
      <c r="V1002" s="28" t="str">
        <f>HYPERLINK("https://znanium.ru/catalog/product/1230615", "Ознакомиться")</f>
        <v>Ознакомиться</v>
      </c>
      <c r="W1002" s="8" t="s">
        <v>1399</v>
      </c>
      <c r="X1002" s="6"/>
      <c r="Y1002" s="6"/>
      <c r="Z1002" s="6"/>
      <c r="AA1002" s="6" t="s">
        <v>2525</v>
      </c>
    </row>
    <row r="1003" spans="1:27" s="4" customFormat="1" ht="51.95" customHeight="1">
      <c r="A1003" s="5">
        <v>0</v>
      </c>
      <c r="B1003" s="6" t="s">
        <v>5509</v>
      </c>
      <c r="C1003" s="7">
        <v>1672.8</v>
      </c>
      <c r="D1003" s="8" t="s">
        <v>5510</v>
      </c>
      <c r="E1003" s="8" t="s">
        <v>5511</v>
      </c>
      <c r="F1003" s="8" t="s">
        <v>3225</v>
      </c>
      <c r="G1003" s="6" t="s">
        <v>58</v>
      </c>
      <c r="H1003" s="6" t="s">
        <v>38</v>
      </c>
      <c r="I1003" s="8"/>
      <c r="J1003" s="9">
        <v>1</v>
      </c>
      <c r="K1003" s="9">
        <v>304</v>
      </c>
      <c r="L1003" s="9">
        <v>2024</v>
      </c>
      <c r="M1003" s="8" t="s">
        <v>5512</v>
      </c>
      <c r="N1003" s="8" t="s">
        <v>40</v>
      </c>
      <c r="O1003" s="8" t="s">
        <v>41</v>
      </c>
      <c r="P1003" s="6" t="s">
        <v>42</v>
      </c>
      <c r="Q1003" s="8" t="s">
        <v>300</v>
      </c>
      <c r="R1003" s="10" t="s">
        <v>5513</v>
      </c>
      <c r="S1003" s="11"/>
      <c r="T1003" s="6"/>
      <c r="U1003" s="28" t="str">
        <f>HYPERLINK("https://media.infra-m.ru/2130/2130543/cover/2130543.jpg", "Обложка")</f>
        <v>Обложка</v>
      </c>
      <c r="V1003" s="28" t="str">
        <f>HYPERLINK("https://znanium.ru/catalog/product/1220452", "Ознакомиться")</f>
        <v>Ознакомиться</v>
      </c>
      <c r="W1003" s="8" t="s">
        <v>5514</v>
      </c>
      <c r="X1003" s="6"/>
      <c r="Y1003" s="6"/>
      <c r="Z1003" s="6"/>
      <c r="AA1003" s="6" t="s">
        <v>431</v>
      </c>
    </row>
    <row r="1004" spans="1:27" s="4" customFormat="1" ht="42" customHeight="1">
      <c r="A1004" s="5">
        <v>0</v>
      </c>
      <c r="B1004" s="6" t="s">
        <v>5515</v>
      </c>
      <c r="C1004" s="13">
        <v>928.8</v>
      </c>
      <c r="D1004" s="8" t="s">
        <v>5516</v>
      </c>
      <c r="E1004" s="8" t="s">
        <v>5517</v>
      </c>
      <c r="F1004" s="8" t="s">
        <v>5518</v>
      </c>
      <c r="G1004" s="6" t="s">
        <v>51</v>
      </c>
      <c r="H1004" s="6" t="s">
        <v>84</v>
      </c>
      <c r="I1004" s="8" t="s">
        <v>250</v>
      </c>
      <c r="J1004" s="9">
        <v>1</v>
      </c>
      <c r="K1004" s="9">
        <v>172</v>
      </c>
      <c r="L1004" s="9">
        <v>2023</v>
      </c>
      <c r="M1004" s="8" t="s">
        <v>5519</v>
      </c>
      <c r="N1004" s="8" t="s">
        <v>40</v>
      </c>
      <c r="O1004" s="8" t="s">
        <v>41</v>
      </c>
      <c r="P1004" s="6" t="s">
        <v>42</v>
      </c>
      <c r="Q1004" s="8" t="s">
        <v>43</v>
      </c>
      <c r="R1004" s="10" t="s">
        <v>314</v>
      </c>
      <c r="S1004" s="11"/>
      <c r="T1004" s="6"/>
      <c r="U1004" s="28" t="str">
        <f>HYPERLINK("https://media.infra-m.ru/2006/2006904/cover/2006904.jpg", "Обложка")</f>
        <v>Обложка</v>
      </c>
      <c r="V1004" s="28" t="str">
        <f>HYPERLINK("https://znanium.ru/catalog/product/1247125", "Ознакомиться")</f>
        <v>Ознакомиться</v>
      </c>
      <c r="W1004" s="8" t="s">
        <v>1021</v>
      </c>
      <c r="X1004" s="6"/>
      <c r="Y1004" s="6"/>
      <c r="Z1004" s="6"/>
      <c r="AA1004" s="6" t="s">
        <v>46</v>
      </c>
    </row>
    <row r="1005" spans="1:27" s="4" customFormat="1" ht="42" customHeight="1">
      <c r="A1005" s="5">
        <v>0</v>
      </c>
      <c r="B1005" s="6" t="s">
        <v>5520</v>
      </c>
      <c r="C1005" s="7">
        <v>1728</v>
      </c>
      <c r="D1005" s="8" t="s">
        <v>5521</v>
      </c>
      <c r="E1005" s="8" t="s">
        <v>5522</v>
      </c>
      <c r="F1005" s="8" t="s">
        <v>5523</v>
      </c>
      <c r="G1005" s="6" t="s">
        <v>37</v>
      </c>
      <c r="H1005" s="6" t="s">
        <v>84</v>
      </c>
      <c r="I1005" s="8" t="s">
        <v>1560</v>
      </c>
      <c r="J1005" s="9">
        <v>1</v>
      </c>
      <c r="K1005" s="9">
        <v>314</v>
      </c>
      <c r="L1005" s="9">
        <v>2023</v>
      </c>
      <c r="M1005" s="8" t="s">
        <v>5524</v>
      </c>
      <c r="N1005" s="8" t="s">
        <v>40</v>
      </c>
      <c r="O1005" s="8" t="s">
        <v>41</v>
      </c>
      <c r="P1005" s="6" t="s">
        <v>42</v>
      </c>
      <c r="Q1005" s="8" t="s">
        <v>43</v>
      </c>
      <c r="R1005" s="10" t="s">
        <v>308</v>
      </c>
      <c r="S1005" s="11"/>
      <c r="T1005" s="6"/>
      <c r="U1005" s="28" t="str">
        <f>HYPERLINK("https://media.infra-m.ru/1905/1905901/cover/1905901.jpg", "Обложка")</f>
        <v>Обложка</v>
      </c>
      <c r="V1005" s="28" t="str">
        <f>HYPERLINK("https://znanium.ru/catalog/product/1905901", "Ознакомиться")</f>
        <v>Ознакомиться</v>
      </c>
      <c r="W1005" s="8" t="s">
        <v>1399</v>
      </c>
      <c r="X1005" s="6"/>
      <c r="Y1005" s="6"/>
      <c r="Z1005" s="6"/>
      <c r="AA1005" s="6" t="s">
        <v>1310</v>
      </c>
    </row>
    <row r="1006" spans="1:27" s="4" customFormat="1" ht="21.95" customHeight="1">
      <c r="A1006" s="5">
        <v>0</v>
      </c>
      <c r="B1006" s="6" t="s">
        <v>5525</v>
      </c>
      <c r="C1006" s="7">
        <v>2152.8000000000002</v>
      </c>
      <c r="D1006" s="8" t="s">
        <v>5526</v>
      </c>
      <c r="E1006" s="8" t="s">
        <v>5527</v>
      </c>
      <c r="F1006" s="8" t="s">
        <v>5528</v>
      </c>
      <c r="G1006" s="6" t="s">
        <v>58</v>
      </c>
      <c r="H1006" s="6" t="s">
        <v>650</v>
      </c>
      <c r="I1006" s="8" t="s">
        <v>1560</v>
      </c>
      <c r="J1006" s="9">
        <v>1</v>
      </c>
      <c r="K1006" s="9">
        <v>391</v>
      </c>
      <c r="L1006" s="9">
        <v>2024</v>
      </c>
      <c r="M1006" s="8" t="s">
        <v>5529</v>
      </c>
      <c r="N1006" s="8" t="s">
        <v>40</v>
      </c>
      <c r="O1006" s="8" t="s">
        <v>41</v>
      </c>
      <c r="P1006" s="6" t="s">
        <v>1586</v>
      </c>
      <c r="Q1006" s="8" t="s">
        <v>871</v>
      </c>
      <c r="R1006" s="10" t="s">
        <v>308</v>
      </c>
      <c r="S1006" s="11"/>
      <c r="T1006" s="6"/>
      <c r="U1006" s="12"/>
      <c r="V1006" s="28" t="str">
        <f>HYPERLINK("https://znanium.ru/catalog/product/972446", "Ознакомиться")</f>
        <v>Ознакомиться</v>
      </c>
      <c r="W1006" s="8" t="s">
        <v>1399</v>
      </c>
      <c r="X1006" s="6"/>
      <c r="Y1006" s="6"/>
      <c r="Z1006" s="6"/>
      <c r="AA1006" s="6" t="s">
        <v>1310</v>
      </c>
    </row>
    <row r="1007" spans="1:27" s="4" customFormat="1" ht="51.95" customHeight="1">
      <c r="A1007" s="5">
        <v>0</v>
      </c>
      <c r="B1007" s="6" t="s">
        <v>5530</v>
      </c>
      <c r="C1007" s="7">
        <v>2076</v>
      </c>
      <c r="D1007" s="8" t="s">
        <v>5531</v>
      </c>
      <c r="E1007" s="8" t="s">
        <v>5532</v>
      </c>
      <c r="F1007" s="8" t="s">
        <v>5533</v>
      </c>
      <c r="G1007" s="6" t="s">
        <v>37</v>
      </c>
      <c r="H1007" s="6" t="s">
        <v>38</v>
      </c>
      <c r="I1007" s="8"/>
      <c r="J1007" s="9">
        <v>1</v>
      </c>
      <c r="K1007" s="9">
        <v>384</v>
      </c>
      <c r="L1007" s="9">
        <v>2023</v>
      </c>
      <c r="M1007" s="8" t="s">
        <v>5534</v>
      </c>
      <c r="N1007" s="8" t="s">
        <v>40</v>
      </c>
      <c r="O1007" s="8" t="s">
        <v>41</v>
      </c>
      <c r="P1007" s="6" t="s">
        <v>42</v>
      </c>
      <c r="Q1007" s="8" t="s">
        <v>43</v>
      </c>
      <c r="R1007" s="10" t="s">
        <v>469</v>
      </c>
      <c r="S1007" s="11"/>
      <c r="T1007" s="6"/>
      <c r="U1007" s="28" t="str">
        <f>HYPERLINK("https://media.infra-m.ru/1931/1931471/cover/1931471.jpg", "Обложка")</f>
        <v>Обложка</v>
      </c>
      <c r="V1007" s="28" t="str">
        <f>HYPERLINK("https://znanium.ru/catalog/product/1931471", "Ознакомиться")</f>
        <v>Ознакомиться</v>
      </c>
      <c r="W1007" s="8" t="s">
        <v>114</v>
      </c>
      <c r="X1007" s="6"/>
      <c r="Y1007" s="6"/>
      <c r="Z1007" s="6"/>
      <c r="AA1007" s="6" t="s">
        <v>46</v>
      </c>
    </row>
    <row r="1008" spans="1:27" s="4" customFormat="1" ht="42" customHeight="1">
      <c r="A1008" s="5">
        <v>0</v>
      </c>
      <c r="B1008" s="6" t="s">
        <v>5535</v>
      </c>
      <c r="C1008" s="7">
        <v>2248.8000000000002</v>
      </c>
      <c r="D1008" s="8" t="s">
        <v>5536</v>
      </c>
      <c r="E1008" s="8" t="s">
        <v>5537</v>
      </c>
      <c r="F1008" s="8" t="s">
        <v>5538</v>
      </c>
      <c r="G1008" s="6" t="s">
        <v>58</v>
      </c>
      <c r="H1008" s="6" t="s">
        <v>650</v>
      </c>
      <c r="I1008" s="8" t="s">
        <v>1560</v>
      </c>
      <c r="J1008" s="9">
        <v>1</v>
      </c>
      <c r="K1008" s="9">
        <v>408</v>
      </c>
      <c r="L1008" s="9">
        <v>2024</v>
      </c>
      <c r="M1008" s="8" t="s">
        <v>5539</v>
      </c>
      <c r="N1008" s="8" t="s">
        <v>40</v>
      </c>
      <c r="O1008" s="8" t="s">
        <v>41</v>
      </c>
      <c r="P1008" s="6" t="s">
        <v>42</v>
      </c>
      <c r="Q1008" s="8" t="s">
        <v>43</v>
      </c>
      <c r="R1008" s="10" t="s">
        <v>308</v>
      </c>
      <c r="S1008" s="11"/>
      <c r="T1008" s="6"/>
      <c r="U1008" s="28" t="str">
        <f>HYPERLINK("https://media.infra-m.ru/2056/2056641/cover/2056641.jpg", "Обложка")</f>
        <v>Обложка</v>
      </c>
      <c r="V1008" s="28" t="str">
        <f>HYPERLINK("https://znanium.ru/catalog/product/1068825", "Ознакомиться")</f>
        <v>Ознакомиться</v>
      </c>
      <c r="W1008" s="8" t="s">
        <v>3273</v>
      </c>
      <c r="X1008" s="6"/>
      <c r="Y1008" s="6"/>
      <c r="Z1008" s="6"/>
      <c r="AA1008" s="6" t="s">
        <v>315</v>
      </c>
    </row>
    <row r="1009" spans="1:27" s="4" customFormat="1" ht="51.95" customHeight="1">
      <c r="A1009" s="5">
        <v>0</v>
      </c>
      <c r="B1009" s="6" t="s">
        <v>5540</v>
      </c>
      <c r="C1009" s="7">
        <v>1260</v>
      </c>
      <c r="D1009" s="8" t="s">
        <v>5541</v>
      </c>
      <c r="E1009" s="8" t="s">
        <v>5542</v>
      </c>
      <c r="F1009" s="8" t="s">
        <v>5543</v>
      </c>
      <c r="G1009" s="6" t="s">
        <v>58</v>
      </c>
      <c r="H1009" s="6" t="s">
        <v>38</v>
      </c>
      <c r="I1009" s="8"/>
      <c r="J1009" s="9">
        <v>1</v>
      </c>
      <c r="K1009" s="9">
        <v>232</v>
      </c>
      <c r="L1009" s="9">
        <v>2023</v>
      </c>
      <c r="M1009" s="8" t="s">
        <v>5544</v>
      </c>
      <c r="N1009" s="8" t="s">
        <v>40</v>
      </c>
      <c r="O1009" s="8" t="s">
        <v>41</v>
      </c>
      <c r="P1009" s="6" t="s">
        <v>42</v>
      </c>
      <c r="Q1009" s="8" t="s">
        <v>43</v>
      </c>
      <c r="R1009" s="10" t="s">
        <v>5545</v>
      </c>
      <c r="S1009" s="11"/>
      <c r="T1009" s="6"/>
      <c r="U1009" s="28" t="str">
        <f>HYPERLINK("https://media.infra-m.ru/1905/1905567/cover/1905567.jpg", "Обложка")</f>
        <v>Обложка</v>
      </c>
      <c r="V1009" s="28" t="str">
        <f>HYPERLINK("https://znanium.ru/catalog/product/1905567", "Ознакомиться")</f>
        <v>Ознакомиться</v>
      </c>
      <c r="W1009" s="8" t="s">
        <v>3146</v>
      </c>
      <c r="X1009" s="6"/>
      <c r="Y1009" s="6"/>
      <c r="Z1009" s="6"/>
      <c r="AA1009" s="6" t="s">
        <v>417</v>
      </c>
    </row>
    <row r="1010" spans="1:27" s="4" customFormat="1" ht="51.95" customHeight="1">
      <c r="A1010" s="5">
        <v>0</v>
      </c>
      <c r="B1010" s="6" t="s">
        <v>5546</v>
      </c>
      <c r="C1010" s="7">
        <v>1152</v>
      </c>
      <c r="D1010" s="8" t="s">
        <v>5547</v>
      </c>
      <c r="E1010" s="8" t="s">
        <v>5548</v>
      </c>
      <c r="F1010" s="8" t="s">
        <v>5549</v>
      </c>
      <c r="G1010" s="6" t="s">
        <v>51</v>
      </c>
      <c r="H1010" s="6" t="s">
        <v>38</v>
      </c>
      <c r="I1010" s="8"/>
      <c r="J1010" s="9">
        <v>1</v>
      </c>
      <c r="K1010" s="9">
        <v>208</v>
      </c>
      <c r="L1010" s="9">
        <v>2024</v>
      </c>
      <c r="M1010" s="8" t="s">
        <v>5550</v>
      </c>
      <c r="N1010" s="8" t="s">
        <v>40</v>
      </c>
      <c r="O1010" s="8" t="s">
        <v>41</v>
      </c>
      <c r="P1010" s="6" t="s">
        <v>42</v>
      </c>
      <c r="Q1010" s="8" t="s">
        <v>43</v>
      </c>
      <c r="R1010" s="10" t="s">
        <v>122</v>
      </c>
      <c r="S1010" s="11"/>
      <c r="T1010" s="6"/>
      <c r="U1010" s="28" t="str">
        <f>HYPERLINK("https://media.infra-m.ru/2123/2123871/cover/2123871.jpg", "Обложка")</f>
        <v>Обложка</v>
      </c>
      <c r="V1010" s="28" t="str">
        <f>HYPERLINK("https://znanium.ru/catalog/product/1840585", "Ознакомиться")</f>
        <v>Ознакомиться</v>
      </c>
      <c r="W1010" s="8" t="s">
        <v>3228</v>
      </c>
      <c r="X1010" s="6"/>
      <c r="Y1010" s="6"/>
      <c r="Z1010" s="6"/>
      <c r="AA1010" s="6" t="s">
        <v>293</v>
      </c>
    </row>
    <row r="1011" spans="1:27" s="4" customFormat="1" ht="42" customHeight="1">
      <c r="A1011" s="5">
        <v>0</v>
      </c>
      <c r="B1011" s="6" t="s">
        <v>5551</v>
      </c>
      <c r="C1011" s="7">
        <v>1296</v>
      </c>
      <c r="D1011" s="8" t="s">
        <v>5552</v>
      </c>
      <c r="E1011" s="8" t="s">
        <v>5553</v>
      </c>
      <c r="F1011" s="8" t="s">
        <v>626</v>
      </c>
      <c r="G1011" s="6" t="s">
        <v>37</v>
      </c>
      <c r="H1011" s="6" t="s">
        <v>38</v>
      </c>
      <c r="I1011" s="8"/>
      <c r="J1011" s="9">
        <v>1</v>
      </c>
      <c r="K1011" s="9">
        <v>240</v>
      </c>
      <c r="L1011" s="9">
        <v>2023</v>
      </c>
      <c r="M1011" s="8" t="s">
        <v>5554</v>
      </c>
      <c r="N1011" s="8" t="s">
        <v>40</v>
      </c>
      <c r="O1011" s="8" t="s">
        <v>41</v>
      </c>
      <c r="P1011" s="6" t="s">
        <v>42</v>
      </c>
      <c r="Q1011" s="8" t="s">
        <v>43</v>
      </c>
      <c r="R1011" s="10" t="s">
        <v>932</v>
      </c>
      <c r="S1011" s="11"/>
      <c r="T1011" s="6"/>
      <c r="U1011" s="28" t="str">
        <f>HYPERLINK("https://media.infra-m.ru/1893/1893873/cover/1893873.jpg", "Обложка")</f>
        <v>Обложка</v>
      </c>
      <c r="V1011" s="28" t="str">
        <f>HYPERLINK("https://znanium.ru/catalog/product/1893873", "Ознакомиться")</f>
        <v>Ознакомиться</v>
      </c>
      <c r="W1011" s="8" t="s">
        <v>114</v>
      </c>
      <c r="X1011" s="6"/>
      <c r="Y1011" s="6"/>
      <c r="Z1011" s="6"/>
      <c r="AA1011" s="6" t="s">
        <v>148</v>
      </c>
    </row>
    <row r="1012" spans="1:27" s="4" customFormat="1" ht="42" customHeight="1">
      <c r="A1012" s="5">
        <v>0</v>
      </c>
      <c r="B1012" s="6" t="s">
        <v>5555</v>
      </c>
      <c r="C1012" s="7">
        <v>2752.8</v>
      </c>
      <c r="D1012" s="8" t="s">
        <v>5556</v>
      </c>
      <c r="E1012" s="8" t="s">
        <v>5557</v>
      </c>
      <c r="F1012" s="8" t="s">
        <v>5558</v>
      </c>
      <c r="G1012" s="6" t="s">
        <v>58</v>
      </c>
      <c r="H1012" s="6" t="s">
        <v>650</v>
      </c>
      <c r="I1012" s="8" t="s">
        <v>1560</v>
      </c>
      <c r="J1012" s="9">
        <v>1</v>
      </c>
      <c r="K1012" s="9">
        <v>770</v>
      </c>
      <c r="L1012" s="9">
        <v>2024</v>
      </c>
      <c r="M1012" s="8" t="s">
        <v>5559</v>
      </c>
      <c r="N1012" s="8" t="s">
        <v>40</v>
      </c>
      <c r="O1012" s="8" t="s">
        <v>41</v>
      </c>
      <c r="P1012" s="6" t="s">
        <v>42</v>
      </c>
      <c r="Q1012" s="8" t="s">
        <v>43</v>
      </c>
      <c r="R1012" s="10" t="s">
        <v>308</v>
      </c>
      <c r="S1012" s="11"/>
      <c r="T1012" s="6"/>
      <c r="U1012" s="28" t="str">
        <f>HYPERLINK("https://media.infra-m.ru/2137/2137027/cover/2137027.jpg", "Обложка")</f>
        <v>Обложка</v>
      </c>
      <c r="V1012" s="28" t="str">
        <f>HYPERLINK("https://znanium.ru/catalog/product/1818641", "Ознакомиться")</f>
        <v>Ознакомиться</v>
      </c>
      <c r="W1012" s="8" t="s">
        <v>1399</v>
      </c>
      <c r="X1012" s="6"/>
      <c r="Y1012" s="6"/>
      <c r="Z1012" s="6"/>
      <c r="AA1012" s="6" t="s">
        <v>724</v>
      </c>
    </row>
    <row r="1013" spans="1:27" s="4" customFormat="1" ht="42" customHeight="1">
      <c r="A1013" s="5">
        <v>0</v>
      </c>
      <c r="B1013" s="6" t="s">
        <v>5560</v>
      </c>
      <c r="C1013" s="13">
        <v>891.6</v>
      </c>
      <c r="D1013" s="8" t="s">
        <v>5561</v>
      </c>
      <c r="E1013" s="8" t="s">
        <v>5562</v>
      </c>
      <c r="F1013" s="8" t="s">
        <v>5563</v>
      </c>
      <c r="G1013" s="6" t="s">
        <v>37</v>
      </c>
      <c r="H1013" s="6" t="s">
        <v>38</v>
      </c>
      <c r="I1013" s="8"/>
      <c r="J1013" s="9">
        <v>1</v>
      </c>
      <c r="K1013" s="9">
        <v>240</v>
      </c>
      <c r="L1013" s="9">
        <v>2024</v>
      </c>
      <c r="M1013" s="8" t="s">
        <v>5564</v>
      </c>
      <c r="N1013" s="8" t="s">
        <v>40</v>
      </c>
      <c r="O1013" s="8" t="s">
        <v>41</v>
      </c>
      <c r="P1013" s="6" t="s">
        <v>42</v>
      </c>
      <c r="Q1013" s="8" t="s">
        <v>43</v>
      </c>
      <c r="R1013" s="10" t="s">
        <v>308</v>
      </c>
      <c r="S1013" s="11"/>
      <c r="T1013" s="6"/>
      <c r="U1013" s="28" t="str">
        <f>HYPERLINK("https://media.infra-m.ru/2087/2087286/cover/2087286.jpg", "Обложка")</f>
        <v>Обложка</v>
      </c>
      <c r="V1013" s="28" t="str">
        <f>HYPERLINK("https://znanium.ru/catalog/product/1088345", "Ознакомиться")</f>
        <v>Ознакомиться</v>
      </c>
      <c r="W1013" s="8" t="s">
        <v>1393</v>
      </c>
      <c r="X1013" s="6"/>
      <c r="Y1013" s="6"/>
      <c r="Z1013" s="6"/>
      <c r="AA1013" s="6" t="s">
        <v>148</v>
      </c>
    </row>
    <row r="1014" spans="1:27" s="4" customFormat="1" ht="42" customHeight="1">
      <c r="A1014" s="5">
        <v>0</v>
      </c>
      <c r="B1014" s="6" t="s">
        <v>5565</v>
      </c>
      <c r="C1014" s="7">
        <v>1188</v>
      </c>
      <c r="D1014" s="8" t="s">
        <v>5566</v>
      </c>
      <c r="E1014" s="8" t="s">
        <v>5567</v>
      </c>
      <c r="F1014" s="8" t="s">
        <v>5568</v>
      </c>
      <c r="G1014" s="6" t="s">
        <v>37</v>
      </c>
      <c r="H1014" s="6" t="s">
        <v>38</v>
      </c>
      <c r="I1014" s="8"/>
      <c r="J1014" s="9">
        <v>1</v>
      </c>
      <c r="K1014" s="9">
        <v>208</v>
      </c>
      <c r="L1014" s="9">
        <v>2022</v>
      </c>
      <c r="M1014" s="8" t="s">
        <v>5569</v>
      </c>
      <c r="N1014" s="8" t="s">
        <v>40</v>
      </c>
      <c r="O1014" s="8" t="s">
        <v>41</v>
      </c>
      <c r="P1014" s="6" t="s">
        <v>42</v>
      </c>
      <c r="Q1014" s="8" t="s">
        <v>43</v>
      </c>
      <c r="R1014" s="10" t="s">
        <v>3725</v>
      </c>
      <c r="S1014" s="11"/>
      <c r="T1014" s="6"/>
      <c r="U1014" s="28" t="str">
        <f>HYPERLINK("https://media.infra-m.ru/1865/1865264/cover/1865264.jpg", "Обложка")</f>
        <v>Обложка</v>
      </c>
      <c r="V1014" s="28" t="str">
        <f>HYPERLINK("https://znanium.ru/catalog/product/1865264", "Ознакомиться")</f>
        <v>Ознакомиться</v>
      </c>
      <c r="W1014" s="8" t="s">
        <v>1399</v>
      </c>
      <c r="X1014" s="6"/>
      <c r="Y1014" s="6"/>
      <c r="Z1014" s="6"/>
      <c r="AA1014" s="6" t="s">
        <v>79</v>
      </c>
    </row>
    <row r="1015" spans="1:27" s="4" customFormat="1" ht="42" customHeight="1">
      <c r="A1015" s="5">
        <v>0</v>
      </c>
      <c r="B1015" s="6" t="s">
        <v>5570</v>
      </c>
      <c r="C1015" s="13">
        <v>624</v>
      </c>
      <c r="D1015" s="8" t="s">
        <v>5571</v>
      </c>
      <c r="E1015" s="8" t="s">
        <v>5572</v>
      </c>
      <c r="F1015" s="8" t="s">
        <v>5573</v>
      </c>
      <c r="G1015" s="6" t="s">
        <v>51</v>
      </c>
      <c r="H1015" s="6" t="s">
        <v>84</v>
      </c>
      <c r="I1015" s="8" t="s">
        <v>250</v>
      </c>
      <c r="J1015" s="9">
        <v>1</v>
      </c>
      <c r="K1015" s="9">
        <v>134</v>
      </c>
      <c r="L1015" s="9">
        <v>2022</v>
      </c>
      <c r="M1015" s="8" t="s">
        <v>5574</v>
      </c>
      <c r="N1015" s="8" t="s">
        <v>40</v>
      </c>
      <c r="O1015" s="8" t="s">
        <v>41</v>
      </c>
      <c r="P1015" s="6" t="s">
        <v>42</v>
      </c>
      <c r="Q1015" s="8" t="s">
        <v>43</v>
      </c>
      <c r="R1015" s="10" t="s">
        <v>932</v>
      </c>
      <c r="S1015" s="11"/>
      <c r="T1015" s="6"/>
      <c r="U1015" s="28" t="str">
        <f>HYPERLINK("https://media.infra-m.ru/1856/1856797/cover/1856797.jpg", "Обложка")</f>
        <v>Обложка</v>
      </c>
      <c r="V1015" s="28" t="str">
        <f>HYPERLINK("https://znanium.ru/catalog/product/1856797", "Ознакомиться")</f>
        <v>Ознакомиться</v>
      </c>
      <c r="W1015" s="8" t="s">
        <v>5575</v>
      </c>
      <c r="X1015" s="6"/>
      <c r="Y1015" s="6"/>
      <c r="Z1015" s="6"/>
      <c r="AA1015" s="6" t="s">
        <v>46</v>
      </c>
    </row>
    <row r="1016" spans="1:27" s="4" customFormat="1" ht="44.1" customHeight="1">
      <c r="A1016" s="5">
        <v>0</v>
      </c>
      <c r="B1016" s="6" t="s">
        <v>5576</v>
      </c>
      <c r="C1016" s="7">
        <v>2248.8000000000002</v>
      </c>
      <c r="D1016" s="8" t="s">
        <v>5577</v>
      </c>
      <c r="E1016" s="8" t="s">
        <v>5578</v>
      </c>
      <c r="F1016" s="8" t="s">
        <v>5579</v>
      </c>
      <c r="G1016" s="6" t="s">
        <v>58</v>
      </c>
      <c r="H1016" s="6" t="s">
        <v>84</v>
      </c>
      <c r="I1016" s="8" t="s">
        <v>250</v>
      </c>
      <c r="J1016" s="9">
        <v>1</v>
      </c>
      <c r="K1016" s="9">
        <v>399</v>
      </c>
      <c r="L1016" s="9">
        <v>2024</v>
      </c>
      <c r="M1016" s="8" t="s">
        <v>5580</v>
      </c>
      <c r="N1016" s="8" t="s">
        <v>40</v>
      </c>
      <c r="O1016" s="8" t="s">
        <v>41</v>
      </c>
      <c r="P1016" s="6" t="s">
        <v>42</v>
      </c>
      <c r="Q1016" s="8" t="s">
        <v>43</v>
      </c>
      <c r="R1016" s="10" t="s">
        <v>2233</v>
      </c>
      <c r="S1016" s="11"/>
      <c r="T1016" s="6"/>
      <c r="U1016" s="28" t="str">
        <f>HYPERLINK("https://media.infra-m.ru/2138/2138285/cover/2138285.jpg", "Обложка")</f>
        <v>Обложка</v>
      </c>
      <c r="V1016" s="28" t="str">
        <f>HYPERLINK("https://znanium.ru/catalog/product/1819254", "Ознакомиться")</f>
        <v>Ознакомиться</v>
      </c>
      <c r="W1016" s="8" t="s">
        <v>3737</v>
      </c>
      <c r="X1016" s="6"/>
      <c r="Y1016" s="6"/>
      <c r="Z1016" s="6"/>
      <c r="AA1016" s="6" t="s">
        <v>62</v>
      </c>
    </row>
    <row r="1017" spans="1:27" s="4" customFormat="1" ht="42" customHeight="1">
      <c r="A1017" s="5">
        <v>0</v>
      </c>
      <c r="B1017" s="6" t="s">
        <v>5581</v>
      </c>
      <c r="C1017" s="7">
        <v>1488</v>
      </c>
      <c r="D1017" s="8" t="s">
        <v>5582</v>
      </c>
      <c r="E1017" s="8" t="s">
        <v>5583</v>
      </c>
      <c r="F1017" s="8" t="s">
        <v>1776</v>
      </c>
      <c r="G1017" s="6" t="s">
        <v>37</v>
      </c>
      <c r="H1017" s="6" t="s">
        <v>84</v>
      </c>
      <c r="I1017" s="8" t="s">
        <v>85</v>
      </c>
      <c r="J1017" s="9">
        <v>1</v>
      </c>
      <c r="K1017" s="9">
        <v>270</v>
      </c>
      <c r="L1017" s="9">
        <v>2024</v>
      </c>
      <c r="M1017" s="8" t="s">
        <v>5584</v>
      </c>
      <c r="N1017" s="8" t="s">
        <v>40</v>
      </c>
      <c r="O1017" s="8" t="s">
        <v>41</v>
      </c>
      <c r="P1017" s="6" t="s">
        <v>841</v>
      </c>
      <c r="Q1017" s="8" t="s">
        <v>43</v>
      </c>
      <c r="R1017" s="10" t="s">
        <v>1778</v>
      </c>
      <c r="S1017" s="11"/>
      <c r="T1017" s="6"/>
      <c r="U1017" s="28" t="str">
        <f>HYPERLINK("https://media.infra-m.ru/2124/2124734/cover/2124734.jpg", "Обложка")</f>
        <v>Обложка</v>
      </c>
      <c r="V1017" s="28" t="str">
        <f>HYPERLINK("https://znanium.ru/catalog/product/2124734", "Ознакомиться")</f>
        <v>Ознакомиться</v>
      </c>
      <c r="W1017" s="8" t="s">
        <v>45</v>
      </c>
      <c r="X1017" s="6"/>
      <c r="Y1017" s="6"/>
      <c r="Z1017" s="6"/>
      <c r="AA1017" s="6" t="s">
        <v>88</v>
      </c>
    </row>
    <row r="1018" spans="1:27" s="4" customFormat="1" ht="42" customHeight="1">
      <c r="A1018" s="5">
        <v>0</v>
      </c>
      <c r="B1018" s="6" t="s">
        <v>5585</v>
      </c>
      <c r="C1018" s="13">
        <v>593.9</v>
      </c>
      <c r="D1018" s="8" t="s">
        <v>5586</v>
      </c>
      <c r="E1018" s="8" t="s">
        <v>5587</v>
      </c>
      <c r="F1018" s="8" t="s">
        <v>5588</v>
      </c>
      <c r="G1018" s="6" t="s">
        <v>58</v>
      </c>
      <c r="H1018" s="6" t="s">
        <v>84</v>
      </c>
      <c r="I1018" s="8" t="s">
        <v>250</v>
      </c>
      <c r="J1018" s="9">
        <v>1</v>
      </c>
      <c r="K1018" s="9">
        <v>140</v>
      </c>
      <c r="L1018" s="9">
        <v>2020</v>
      </c>
      <c r="M1018" s="8" t="s">
        <v>5589</v>
      </c>
      <c r="N1018" s="8" t="s">
        <v>40</v>
      </c>
      <c r="O1018" s="8" t="s">
        <v>41</v>
      </c>
      <c r="P1018" s="6" t="s">
        <v>42</v>
      </c>
      <c r="Q1018" s="8" t="s">
        <v>43</v>
      </c>
      <c r="R1018" s="10" t="s">
        <v>932</v>
      </c>
      <c r="S1018" s="11"/>
      <c r="T1018" s="6"/>
      <c r="U1018" s="28" t="str">
        <f>HYPERLINK("https://media.infra-m.ru/1088/1088231/cover/1088231.jpg", "Обложка")</f>
        <v>Обложка</v>
      </c>
      <c r="V1018" s="28" t="str">
        <f>HYPERLINK("https://znanium.ru/catalog/product/926495", "Ознакомиться")</f>
        <v>Ознакомиться</v>
      </c>
      <c r="W1018" s="8" t="s">
        <v>344</v>
      </c>
      <c r="X1018" s="6"/>
      <c r="Y1018" s="6"/>
      <c r="Z1018" s="6"/>
      <c r="AA1018" s="6" t="s">
        <v>88</v>
      </c>
    </row>
    <row r="1019" spans="1:27" s="4" customFormat="1" ht="44.1" customHeight="1">
      <c r="A1019" s="5">
        <v>0</v>
      </c>
      <c r="B1019" s="6" t="s">
        <v>5590</v>
      </c>
      <c r="C1019" s="7">
        <v>1088.3</v>
      </c>
      <c r="D1019" s="8" t="s">
        <v>5591</v>
      </c>
      <c r="E1019" s="8" t="s">
        <v>5592</v>
      </c>
      <c r="F1019" s="8" t="s">
        <v>5593</v>
      </c>
      <c r="G1019" s="6" t="s">
        <v>1764</v>
      </c>
      <c r="H1019" s="6" t="s">
        <v>38</v>
      </c>
      <c r="I1019" s="8"/>
      <c r="J1019" s="14">
        <v>0</v>
      </c>
      <c r="K1019" s="9">
        <v>336</v>
      </c>
      <c r="L1019" s="9">
        <v>2016</v>
      </c>
      <c r="M1019" s="8" t="s">
        <v>5594</v>
      </c>
      <c r="N1019" s="8" t="s">
        <v>40</v>
      </c>
      <c r="O1019" s="8" t="s">
        <v>41</v>
      </c>
      <c r="P1019" s="6" t="s">
        <v>841</v>
      </c>
      <c r="Q1019" s="8" t="s">
        <v>300</v>
      </c>
      <c r="R1019" s="10"/>
      <c r="S1019" s="11"/>
      <c r="T1019" s="6"/>
      <c r="U1019" s="28" t="str">
        <f>HYPERLINK("https://media.infra-m.ru/0765/0765882/cover/765882.jpg", "Обложка")</f>
        <v>Обложка</v>
      </c>
      <c r="V1019" s="12"/>
      <c r="W1019" s="8" t="s">
        <v>1443</v>
      </c>
      <c r="X1019" s="6"/>
      <c r="Y1019" s="6"/>
      <c r="Z1019" s="6"/>
      <c r="AA1019" s="6" t="s">
        <v>88</v>
      </c>
    </row>
    <row r="1020" spans="1:27" s="4" customFormat="1" ht="51.95" customHeight="1">
      <c r="A1020" s="5">
        <v>0</v>
      </c>
      <c r="B1020" s="6" t="s">
        <v>5595</v>
      </c>
      <c r="C1020" s="7">
        <v>1032</v>
      </c>
      <c r="D1020" s="8" t="s">
        <v>5596</v>
      </c>
      <c r="E1020" s="8" t="s">
        <v>5597</v>
      </c>
      <c r="F1020" s="8" t="s">
        <v>5598</v>
      </c>
      <c r="G1020" s="6" t="s">
        <v>51</v>
      </c>
      <c r="H1020" s="6" t="s">
        <v>84</v>
      </c>
      <c r="I1020" s="8" t="s">
        <v>250</v>
      </c>
      <c r="J1020" s="9">
        <v>1</v>
      </c>
      <c r="K1020" s="9">
        <v>225</v>
      </c>
      <c r="L1020" s="9">
        <v>2021</v>
      </c>
      <c r="M1020" s="8" t="s">
        <v>5599</v>
      </c>
      <c r="N1020" s="8" t="s">
        <v>40</v>
      </c>
      <c r="O1020" s="8" t="s">
        <v>41</v>
      </c>
      <c r="P1020" s="6" t="s">
        <v>42</v>
      </c>
      <c r="Q1020" s="8" t="s">
        <v>43</v>
      </c>
      <c r="R1020" s="10" t="s">
        <v>5600</v>
      </c>
      <c r="S1020" s="11"/>
      <c r="T1020" s="6"/>
      <c r="U1020" s="28" t="str">
        <f>HYPERLINK("https://media.infra-m.ru/1383/1383687/cover/1383687.jpg", "Обложка")</f>
        <v>Обложка</v>
      </c>
      <c r="V1020" s="28" t="str">
        <f>HYPERLINK("https://znanium.ru/catalog/product/1383687", "Ознакомиться")</f>
        <v>Ознакомиться</v>
      </c>
      <c r="W1020" s="8" t="s">
        <v>1393</v>
      </c>
      <c r="X1020" s="6"/>
      <c r="Y1020" s="6"/>
      <c r="Z1020" s="6"/>
      <c r="AA1020" s="6" t="s">
        <v>62</v>
      </c>
    </row>
    <row r="1021" spans="1:27" s="4" customFormat="1" ht="42" customHeight="1">
      <c r="A1021" s="5">
        <v>0</v>
      </c>
      <c r="B1021" s="6" t="s">
        <v>5601</v>
      </c>
      <c r="C1021" s="7">
        <v>4386</v>
      </c>
      <c r="D1021" s="8" t="s">
        <v>5602</v>
      </c>
      <c r="E1021" s="8" t="s">
        <v>5603</v>
      </c>
      <c r="F1021" s="8" t="s">
        <v>5604</v>
      </c>
      <c r="G1021" s="6" t="s">
        <v>58</v>
      </c>
      <c r="H1021" s="6" t="s">
        <v>38</v>
      </c>
      <c r="I1021" s="8"/>
      <c r="J1021" s="9">
        <v>1</v>
      </c>
      <c r="K1021" s="9">
        <v>792</v>
      </c>
      <c r="L1021" s="9">
        <v>2024</v>
      </c>
      <c r="M1021" s="8" t="s">
        <v>5605</v>
      </c>
      <c r="N1021" s="8" t="s">
        <v>40</v>
      </c>
      <c r="O1021" s="8" t="s">
        <v>41</v>
      </c>
      <c r="P1021" s="6" t="s">
        <v>42</v>
      </c>
      <c r="Q1021" s="8" t="s">
        <v>43</v>
      </c>
      <c r="R1021" s="10" t="s">
        <v>308</v>
      </c>
      <c r="S1021" s="11"/>
      <c r="T1021" s="6"/>
      <c r="U1021" s="28" t="str">
        <f>HYPERLINK("https://media.infra-m.ru/2090/2090047/cover/2090047.jpg", "Обложка")</f>
        <v>Обложка</v>
      </c>
      <c r="V1021" s="28" t="str">
        <f>HYPERLINK("https://znanium.ru/catalog/product/2090047", "Ознакомиться")</f>
        <v>Ознакомиться</v>
      </c>
      <c r="W1021" s="8"/>
      <c r="X1021" s="6"/>
      <c r="Y1021" s="6"/>
      <c r="Z1021" s="6"/>
      <c r="AA1021" s="6" t="s">
        <v>353</v>
      </c>
    </row>
    <row r="1022" spans="1:27" s="4" customFormat="1" ht="42" customHeight="1">
      <c r="A1022" s="5">
        <v>0</v>
      </c>
      <c r="B1022" s="6" t="s">
        <v>5606</v>
      </c>
      <c r="C1022" s="7">
        <v>1104</v>
      </c>
      <c r="D1022" s="8" t="s">
        <v>5607</v>
      </c>
      <c r="E1022" s="8" t="s">
        <v>5608</v>
      </c>
      <c r="F1022" s="8" t="s">
        <v>5609</v>
      </c>
      <c r="G1022" s="6" t="s">
        <v>37</v>
      </c>
      <c r="H1022" s="6" t="s">
        <v>38</v>
      </c>
      <c r="I1022" s="8"/>
      <c r="J1022" s="9">
        <v>1</v>
      </c>
      <c r="K1022" s="9">
        <v>192</v>
      </c>
      <c r="L1022" s="9">
        <v>2024</v>
      </c>
      <c r="M1022" s="8" t="s">
        <v>5610</v>
      </c>
      <c r="N1022" s="8" t="s">
        <v>40</v>
      </c>
      <c r="O1022" s="8" t="s">
        <v>41</v>
      </c>
      <c r="P1022" s="6" t="s">
        <v>42</v>
      </c>
      <c r="Q1022" s="8" t="s">
        <v>43</v>
      </c>
      <c r="R1022" s="10" t="s">
        <v>2125</v>
      </c>
      <c r="S1022" s="11"/>
      <c r="T1022" s="6"/>
      <c r="U1022" s="28" t="str">
        <f>HYPERLINK("https://media.infra-m.ru/2135/2135815/cover/2135815.jpg", "Обложка")</f>
        <v>Обложка</v>
      </c>
      <c r="V1022" s="28" t="str">
        <f>HYPERLINK("https://znanium.ru/catalog/product/2135815", "Ознакомиться")</f>
        <v>Ознакомиться</v>
      </c>
      <c r="W1022" s="8" t="s">
        <v>114</v>
      </c>
      <c r="X1022" s="6"/>
      <c r="Y1022" s="6"/>
      <c r="Z1022" s="6"/>
      <c r="AA1022" s="6" t="s">
        <v>46</v>
      </c>
    </row>
    <row r="1023" spans="1:27" s="4" customFormat="1" ht="51.95" customHeight="1">
      <c r="A1023" s="5">
        <v>0</v>
      </c>
      <c r="B1023" s="6" t="s">
        <v>5611</v>
      </c>
      <c r="C1023" s="13">
        <v>809.9</v>
      </c>
      <c r="D1023" s="8" t="s">
        <v>5612</v>
      </c>
      <c r="E1023" s="8" t="s">
        <v>5613</v>
      </c>
      <c r="F1023" s="8" t="s">
        <v>5614</v>
      </c>
      <c r="G1023" s="6" t="s">
        <v>51</v>
      </c>
      <c r="H1023" s="6" t="s">
        <v>38</v>
      </c>
      <c r="I1023" s="8"/>
      <c r="J1023" s="9">
        <v>1</v>
      </c>
      <c r="K1023" s="9">
        <v>160</v>
      </c>
      <c r="L1023" s="9">
        <v>2022</v>
      </c>
      <c r="M1023" s="8" t="s">
        <v>5615</v>
      </c>
      <c r="N1023" s="8" t="s">
        <v>40</v>
      </c>
      <c r="O1023" s="8" t="s">
        <v>41</v>
      </c>
      <c r="P1023" s="6" t="s">
        <v>42</v>
      </c>
      <c r="Q1023" s="8" t="s">
        <v>300</v>
      </c>
      <c r="R1023" s="10" t="s">
        <v>5616</v>
      </c>
      <c r="S1023" s="11"/>
      <c r="T1023" s="6"/>
      <c r="U1023" s="28" t="str">
        <f>HYPERLINK("https://media.infra-m.ru/1068/1068676/cover/1068676.jpg", "Обложка")</f>
        <v>Обложка</v>
      </c>
      <c r="V1023" s="28" t="str">
        <f>HYPERLINK("https://znanium.ru/catalog/product/1068676", "Ознакомиться")</f>
        <v>Ознакомиться</v>
      </c>
      <c r="W1023" s="8" t="s">
        <v>114</v>
      </c>
      <c r="X1023" s="6"/>
      <c r="Y1023" s="6"/>
      <c r="Z1023" s="6"/>
      <c r="AA1023" s="6" t="s">
        <v>431</v>
      </c>
    </row>
    <row r="1024" spans="1:27" s="4" customFormat="1" ht="42" customHeight="1">
      <c r="A1024" s="5">
        <v>0</v>
      </c>
      <c r="B1024" s="6" t="s">
        <v>5617</v>
      </c>
      <c r="C1024" s="13">
        <v>888</v>
      </c>
      <c r="D1024" s="8" t="s">
        <v>5618</v>
      </c>
      <c r="E1024" s="8" t="s">
        <v>5619</v>
      </c>
      <c r="F1024" s="8" t="s">
        <v>626</v>
      </c>
      <c r="G1024" s="6" t="s">
        <v>37</v>
      </c>
      <c r="H1024" s="6" t="s">
        <v>38</v>
      </c>
      <c r="I1024" s="8"/>
      <c r="J1024" s="9">
        <v>1</v>
      </c>
      <c r="K1024" s="9">
        <v>176</v>
      </c>
      <c r="L1024" s="9">
        <v>2022</v>
      </c>
      <c r="M1024" s="8" t="s">
        <v>5620</v>
      </c>
      <c r="N1024" s="8" t="s">
        <v>40</v>
      </c>
      <c r="O1024" s="8" t="s">
        <v>41</v>
      </c>
      <c r="P1024" s="6" t="s">
        <v>42</v>
      </c>
      <c r="Q1024" s="8" t="s">
        <v>43</v>
      </c>
      <c r="R1024" s="10" t="s">
        <v>5621</v>
      </c>
      <c r="S1024" s="11"/>
      <c r="T1024" s="6"/>
      <c r="U1024" s="28" t="str">
        <f>HYPERLINK("https://media.infra-m.ru/1875/1875436/cover/1875436.jpg", "Обложка")</f>
        <v>Обложка</v>
      </c>
      <c r="V1024" s="28" t="str">
        <f>HYPERLINK("https://znanium.ru/catalog/product/1875436", "Ознакомиться")</f>
        <v>Ознакомиться</v>
      </c>
      <c r="W1024" s="8" t="s">
        <v>114</v>
      </c>
      <c r="X1024" s="6"/>
      <c r="Y1024" s="6"/>
      <c r="Z1024" s="6"/>
      <c r="AA1024" s="6" t="s">
        <v>79</v>
      </c>
    </row>
    <row r="1025" spans="1:27" s="4" customFormat="1" ht="44.1" customHeight="1">
      <c r="A1025" s="5">
        <v>0</v>
      </c>
      <c r="B1025" s="6" t="s">
        <v>5622</v>
      </c>
      <c r="C1025" s="7">
        <v>1536</v>
      </c>
      <c r="D1025" s="8" t="s">
        <v>5623</v>
      </c>
      <c r="E1025" s="8" t="s">
        <v>5624</v>
      </c>
      <c r="F1025" s="8" t="s">
        <v>5625</v>
      </c>
      <c r="G1025" s="6" t="s">
        <v>58</v>
      </c>
      <c r="H1025" s="6" t="s">
        <v>38</v>
      </c>
      <c r="I1025" s="8"/>
      <c r="J1025" s="9">
        <v>1</v>
      </c>
      <c r="K1025" s="9">
        <v>272</v>
      </c>
      <c r="L1025" s="9">
        <v>2024</v>
      </c>
      <c r="M1025" s="8" t="s">
        <v>5626</v>
      </c>
      <c r="N1025" s="8" t="s">
        <v>40</v>
      </c>
      <c r="O1025" s="8" t="s">
        <v>41</v>
      </c>
      <c r="P1025" s="6" t="s">
        <v>42</v>
      </c>
      <c r="Q1025" s="8" t="s">
        <v>300</v>
      </c>
      <c r="R1025" s="10" t="s">
        <v>730</v>
      </c>
      <c r="S1025" s="11"/>
      <c r="T1025" s="6"/>
      <c r="U1025" s="28" t="str">
        <f>HYPERLINK("https://media.infra-m.ru/2136/2136389/cover/2136389.jpg", "Обложка")</f>
        <v>Обложка</v>
      </c>
      <c r="V1025" s="28" t="str">
        <f>HYPERLINK("https://znanium.ru/catalog/product/2136389", "Ознакомиться")</f>
        <v>Ознакомиться</v>
      </c>
      <c r="W1025" s="8" t="s">
        <v>114</v>
      </c>
      <c r="X1025" s="6" t="s">
        <v>2400</v>
      </c>
      <c r="Y1025" s="6"/>
      <c r="Z1025" s="6"/>
      <c r="AA1025" s="6" t="s">
        <v>392</v>
      </c>
    </row>
    <row r="1026" spans="1:27" s="4" customFormat="1" ht="44.1" customHeight="1">
      <c r="A1026" s="5">
        <v>0</v>
      </c>
      <c r="B1026" s="6" t="s">
        <v>5627</v>
      </c>
      <c r="C1026" s="7">
        <v>1380</v>
      </c>
      <c r="D1026" s="8" t="s">
        <v>5628</v>
      </c>
      <c r="E1026" s="8" t="s">
        <v>5629</v>
      </c>
      <c r="F1026" s="8" t="s">
        <v>5625</v>
      </c>
      <c r="G1026" s="6" t="s">
        <v>51</v>
      </c>
      <c r="H1026" s="6" t="s">
        <v>38</v>
      </c>
      <c r="I1026" s="8"/>
      <c r="J1026" s="9">
        <v>1</v>
      </c>
      <c r="K1026" s="9">
        <v>256</v>
      </c>
      <c r="L1026" s="9">
        <v>2023</v>
      </c>
      <c r="M1026" s="8" t="s">
        <v>5630</v>
      </c>
      <c r="N1026" s="8" t="s">
        <v>40</v>
      </c>
      <c r="O1026" s="8" t="s">
        <v>41</v>
      </c>
      <c r="P1026" s="6" t="s">
        <v>42</v>
      </c>
      <c r="Q1026" s="8" t="s">
        <v>300</v>
      </c>
      <c r="R1026" s="10" t="s">
        <v>730</v>
      </c>
      <c r="S1026" s="11"/>
      <c r="T1026" s="6"/>
      <c r="U1026" s="28" t="str">
        <f>HYPERLINK("https://media.infra-m.ru/1986/1986693/cover/1986693.jpg", "Обложка")</f>
        <v>Обложка</v>
      </c>
      <c r="V1026" s="28" t="str">
        <f>HYPERLINK("https://znanium.ru/catalog/product/2136389", "Ознакомиться")</f>
        <v>Ознакомиться</v>
      </c>
      <c r="W1026" s="8" t="s">
        <v>114</v>
      </c>
      <c r="X1026" s="6"/>
      <c r="Y1026" s="6"/>
      <c r="Z1026" s="6"/>
      <c r="AA1026" s="6" t="s">
        <v>302</v>
      </c>
    </row>
    <row r="1027" spans="1:27" s="4" customFormat="1" ht="42" customHeight="1">
      <c r="A1027" s="5">
        <v>0</v>
      </c>
      <c r="B1027" s="6" t="s">
        <v>5631</v>
      </c>
      <c r="C1027" s="7">
        <v>1560</v>
      </c>
      <c r="D1027" s="8" t="s">
        <v>5632</v>
      </c>
      <c r="E1027" s="8" t="s">
        <v>5633</v>
      </c>
      <c r="F1027" s="8" t="s">
        <v>626</v>
      </c>
      <c r="G1027" s="6" t="s">
        <v>37</v>
      </c>
      <c r="H1027" s="6" t="s">
        <v>38</v>
      </c>
      <c r="I1027" s="8"/>
      <c r="J1027" s="9">
        <v>1</v>
      </c>
      <c r="K1027" s="9">
        <v>288</v>
      </c>
      <c r="L1027" s="9">
        <v>2023</v>
      </c>
      <c r="M1027" s="8" t="s">
        <v>5634</v>
      </c>
      <c r="N1027" s="8" t="s">
        <v>40</v>
      </c>
      <c r="O1027" s="8" t="s">
        <v>41</v>
      </c>
      <c r="P1027" s="6" t="s">
        <v>42</v>
      </c>
      <c r="Q1027" s="8" t="s">
        <v>43</v>
      </c>
      <c r="R1027" s="10" t="s">
        <v>932</v>
      </c>
      <c r="S1027" s="11"/>
      <c r="T1027" s="6"/>
      <c r="U1027" s="28" t="str">
        <f>HYPERLINK("https://media.infra-m.ru/1905/1905970/cover/1905970.jpg", "Обложка")</f>
        <v>Обложка</v>
      </c>
      <c r="V1027" s="28" t="str">
        <f>HYPERLINK("https://znanium.ru/catalog/product/1905970", "Ознакомиться")</f>
        <v>Ознакомиться</v>
      </c>
      <c r="W1027" s="8" t="s">
        <v>114</v>
      </c>
      <c r="X1027" s="6"/>
      <c r="Y1027" s="6"/>
      <c r="Z1027" s="6"/>
      <c r="AA1027" s="6" t="s">
        <v>148</v>
      </c>
    </row>
    <row r="1028" spans="1:27" s="4" customFormat="1" ht="42" customHeight="1">
      <c r="A1028" s="5">
        <v>0</v>
      </c>
      <c r="B1028" s="6" t="s">
        <v>5635</v>
      </c>
      <c r="C1028" s="13">
        <v>708</v>
      </c>
      <c r="D1028" s="8" t="s">
        <v>5636</v>
      </c>
      <c r="E1028" s="8" t="s">
        <v>5637</v>
      </c>
      <c r="F1028" s="8" t="s">
        <v>5638</v>
      </c>
      <c r="G1028" s="6" t="s">
        <v>51</v>
      </c>
      <c r="H1028" s="6" t="s">
        <v>38</v>
      </c>
      <c r="I1028" s="8"/>
      <c r="J1028" s="9">
        <v>1</v>
      </c>
      <c r="K1028" s="9">
        <v>128</v>
      </c>
      <c r="L1028" s="9">
        <v>2024</v>
      </c>
      <c r="M1028" s="8" t="s">
        <v>5639</v>
      </c>
      <c r="N1028" s="8" t="s">
        <v>40</v>
      </c>
      <c r="O1028" s="8" t="s">
        <v>41</v>
      </c>
      <c r="P1028" s="6" t="s">
        <v>42</v>
      </c>
      <c r="Q1028" s="8" t="s">
        <v>43</v>
      </c>
      <c r="R1028" s="10" t="s">
        <v>1376</v>
      </c>
      <c r="S1028" s="11"/>
      <c r="T1028" s="6"/>
      <c r="U1028" s="28" t="str">
        <f>HYPERLINK("https://media.infra-m.ru/2115/2115734/cover/2115734.jpg", "Обложка")</f>
        <v>Обложка</v>
      </c>
      <c r="V1028" s="28" t="str">
        <f>HYPERLINK("https://znanium.ru/catalog/product/2115734", "Ознакомиться")</f>
        <v>Ознакомиться</v>
      </c>
      <c r="W1028" s="8" t="s">
        <v>114</v>
      </c>
      <c r="X1028" s="6"/>
      <c r="Y1028" s="6"/>
      <c r="Z1028" s="6"/>
      <c r="AA1028" s="6" t="s">
        <v>655</v>
      </c>
    </row>
    <row r="1029" spans="1:27" s="4" customFormat="1" ht="42" customHeight="1">
      <c r="A1029" s="5">
        <v>0</v>
      </c>
      <c r="B1029" s="6" t="s">
        <v>5640</v>
      </c>
      <c r="C1029" s="13">
        <v>996</v>
      </c>
      <c r="D1029" s="8" t="s">
        <v>5641</v>
      </c>
      <c r="E1029" s="8" t="s">
        <v>5642</v>
      </c>
      <c r="F1029" s="8" t="s">
        <v>1584</v>
      </c>
      <c r="G1029" s="6" t="s">
        <v>37</v>
      </c>
      <c r="H1029" s="6" t="s">
        <v>38</v>
      </c>
      <c r="I1029" s="8"/>
      <c r="J1029" s="9">
        <v>1</v>
      </c>
      <c r="K1029" s="9">
        <v>184</v>
      </c>
      <c r="L1029" s="9">
        <v>2023</v>
      </c>
      <c r="M1029" s="8" t="s">
        <v>5643</v>
      </c>
      <c r="N1029" s="8" t="s">
        <v>40</v>
      </c>
      <c r="O1029" s="8" t="s">
        <v>41</v>
      </c>
      <c r="P1029" s="6" t="s">
        <v>42</v>
      </c>
      <c r="Q1029" s="8" t="s">
        <v>43</v>
      </c>
      <c r="R1029" s="10" t="s">
        <v>113</v>
      </c>
      <c r="S1029" s="11"/>
      <c r="T1029" s="6"/>
      <c r="U1029" s="28" t="str">
        <f>HYPERLINK("https://media.infra-m.ru/1895/1895641/cover/1895641.jpg", "Обложка")</f>
        <v>Обложка</v>
      </c>
      <c r="V1029" s="28" t="str">
        <f>HYPERLINK("https://znanium.ru/catalog/product/1895641", "Ознакомиться")</f>
        <v>Ознакомиться</v>
      </c>
      <c r="W1029" s="8" t="s">
        <v>45</v>
      </c>
      <c r="X1029" s="6"/>
      <c r="Y1029" s="6"/>
      <c r="Z1029" s="6"/>
      <c r="AA1029" s="6" t="s">
        <v>46</v>
      </c>
    </row>
    <row r="1030" spans="1:27" s="4" customFormat="1" ht="51.95" customHeight="1">
      <c r="A1030" s="5">
        <v>0</v>
      </c>
      <c r="B1030" s="6" t="s">
        <v>5644</v>
      </c>
      <c r="C1030" s="7">
        <v>1128</v>
      </c>
      <c r="D1030" s="8" t="s">
        <v>5645</v>
      </c>
      <c r="E1030" s="8" t="s">
        <v>5646</v>
      </c>
      <c r="F1030" s="8" t="s">
        <v>5647</v>
      </c>
      <c r="G1030" s="6" t="s">
        <v>51</v>
      </c>
      <c r="H1030" s="6" t="s">
        <v>84</v>
      </c>
      <c r="I1030" s="8" t="s">
        <v>250</v>
      </c>
      <c r="J1030" s="9">
        <v>1</v>
      </c>
      <c r="K1030" s="9">
        <v>204</v>
      </c>
      <c r="L1030" s="9">
        <v>2023</v>
      </c>
      <c r="M1030" s="8" t="s">
        <v>5648</v>
      </c>
      <c r="N1030" s="8" t="s">
        <v>40</v>
      </c>
      <c r="O1030" s="8" t="s">
        <v>41</v>
      </c>
      <c r="P1030" s="6" t="s">
        <v>42</v>
      </c>
      <c r="Q1030" s="8" t="s">
        <v>43</v>
      </c>
      <c r="R1030" s="10" t="s">
        <v>5649</v>
      </c>
      <c r="S1030" s="11"/>
      <c r="T1030" s="6"/>
      <c r="U1030" s="28" t="str">
        <f>HYPERLINK("https://media.infra-m.ru/2048/2048108/cover/2048108.jpg", "Обложка")</f>
        <v>Обложка</v>
      </c>
      <c r="V1030" s="28" t="str">
        <f>HYPERLINK("https://znanium.ru/catalog/product/2048108", "Ознакомиться")</f>
        <v>Ознакомиться</v>
      </c>
      <c r="W1030" s="8" t="s">
        <v>107</v>
      </c>
      <c r="X1030" s="6" t="s">
        <v>391</v>
      </c>
      <c r="Y1030" s="6"/>
      <c r="Z1030" s="6"/>
      <c r="AA1030" s="6" t="s">
        <v>417</v>
      </c>
    </row>
    <row r="1031" spans="1:27" s="4" customFormat="1" ht="42" customHeight="1">
      <c r="A1031" s="5">
        <v>0</v>
      </c>
      <c r="B1031" s="6" t="s">
        <v>5650</v>
      </c>
      <c r="C1031" s="13">
        <v>509.9</v>
      </c>
      <c r="D1031" s="8" t="s">
        <v>5651</v>
      </c>
      <c r="E1031" s="8" t="s">
        <v>5652</v>
      </c>
      <c r="F1031" s="8" t="s">
        <v>5653</v>
      </c>
      <c r="G1031" s="6" t="s">
        <v>51</v>
      </c>
      <c r="H1031" s="6" t="s">
        <v>84</v>
      </c>
      <c r="I1031" s="8" t="s">
        <v>250</v>
      </c>
      <c r="J1031" s="9">
        <v>1</v>
      </c>
      <c r="K1031" s="9">
        <v>94</v>
      </c>
      <c r="L1031" s="9">
        <v>2023</v>
      </c>
      <c r="M1031" s="8" t="s">
        <v>5654</v>
      </c>
      <c r="N1031" s="8" t="s">
        <v>40</v>
      </c>
      <c r="O1031" s="8" t="s">
        <v>41</v>
      </c>
      <c r="P1031" s="6" t="s">
        <v>42</v>
      </c>
      <c r="Q1031" s="8" t="s">
        <v>43</v>
      </c>
      <c r="R1031" s="10" t="s">
        <v>350</v>
      </c>
      <c r="S1031" s="11"/>
      <c r="T1031" s="6"/>
      <c r="U1031" s="28" t="str">
        <f>HYPERLINK("https://media.infra-m.ru/1913/1913031/cover/1913031.jpg", "Обложка")</f>
        <v>Обложка</v>
      </c>
      <c r="V1031" s="28" t="str">
        <f>HYPERLINK("https://znanium.ru/catalog/product/513508", "Ознакомиться")</f>
        <v>Ознакомиться</v>
      </c>
      <c r="W1031" s="8" t="s">
        <v>107</v>
      </c>
      <c r="X1031" s="6"/>
      <c r="Y1031" s="6"/>
      <c r="Z1031" s="6"/>
      <c r="AA1031" s="6" t="s">
        <v>302</v>
      </c>
    </row>
    <row r="1032" spans="1:27" s="4" customFormat="1" ht="44.1" customHeight="1">
      <c r="A1032" s="5">
        <v>0</v>
      </c>
      <c r="B1032" s="6" t="s">
        <v>5655</v>
      </c>
      <c r="C1032" s="7">
        <v>1168.8</v>
      </c>
      <c r="D1032" s="8" t="s">
        <v>5656</v>
      </c>
      <c r="E1032" s="8" t="s">
        <v>5657</v>
      </c>
      <c r="F1032" s="8" t="s">
        <v>5658</v>
      </c>
      <c r="G1032" s="6" t="s">
        <v>58</v>
      </c>
      <c r="H1032" s="6" t="s">
        <v>38</v>
      </c>
      <c r="I1032" s="8"/>
      <c r="J1032" s="9">
        <v>1</v>
      </c>
      <c r="K1032" s="9">
        <v>208</v>
      </c>
      <c r="L1032" s="9">
        <v>2024</v>
      </c>
      <c r="M1032" s="8" t="s">
        <v>5659</v>
      </c>
      <c r="N1032" s="8" t="s">
        <v>40</v>
      </c>
      <c r="O1032" s="8" t="s">
        <v>41</v>
      </c>
      <c r="P1032" s="6" t="s">
        <v>42</v>
      </c>
      <c r="Q1032" s="8" t="s">
        <v>43</v>
      </c>
      <c r="R1032" s="10" t="s">
        <v>749</v>
      </c>
      <c r="S1032" s="11"/>
      <c r="T1032" s="6"/>
      <c r="U1032" s="28" t="str">
        <f>HYPERLINK("https://media.infra-m.ru/2133/2133518/cover/2133518.jpg", "Обложка")</f>
        <v>Обложка</v>
      </c>
      <c r="V1032" s="28" t="str">
        <f>HYPERLINK("https://znanium.ru/catalog/product/1035870", "Ознакомиться")</f>
        <v>Ознакомиться</v>
      </c>
      <c r="W1032" s="8" t="s">
        <v>1279</v>
      </c>
      <c r="X1032" s="6"/>
      <c r="Y1032" s="6"/>
      <c r="Z1032" s="6"/>
      <c r="AA1032" s="6" t="s">
        <v>88</v>
      </c>
    </row>
    <row r="1033" spans="1:27" s="4" customFormat="1" ht="42" customHeight="1">
      <c r="A1033" s="5">
        <v>0</v>
      </c>
      <c r="B1033" s="6" t="s">
        <v>5660</v>
      </c>
      <c r="C1033" s="7">
        <v>1836</v>
      </c>
      <c r="D1033" s="8" t="s">
        <v>5661</v>
      </c>
      <c r="E1033" s="8" t="s">
        <v>5662</v>
      </c>
      <c r="F1033" s="8" t="s">
        <v>5663</v>
      </c>
      <c r="G1033" s="6" t="s">
        <v>58</v>
      </c>
      <c r="H1033" s="6" t="s">
        <v>52</v>
      </c>
      <c r="I1033" s="8" t="s">
        <v>1641</v>
      </c>
      <c r="J1033" s="9">
        <v>1</v>
      </c>
      <c r="K1033" s="9">
        <v>392</v>
      </c>
      <c r="L1033" s="9">
        <v>2022</v>
      </c>
      <c r="M1033" s="8" t="s">
        <v>5664</v>
      </c>
      <c r="N1033" s="8" t="s">
        <v>40</v>
      </c>
      <c r="O1033" s="8" t="s">
        <v>41</v>
      </c>
      <c r="P1033" s="6" t="s">
        <v>42</v>
      </c>
      <c r="Q1033" s="8" t="s">
        <v>43</v>
      </c>
      <c r="R1033" s="10" t="s">
        <v>5665</v>
      </c>
      <c r="S1033" s="11"/>
      <c r="T1033" s="6"/>
      <c r="U1033" s="28" t="str">
        <f>HYPERLINK("https://media.infra-m.ru/1862/1862568/cover/1862568.jpg", "Обложка")</f>
        <v>Обложка</v>
      </c>
      <c r="V1033" s="12"/>
      <c r="W1033" s="8" t="s">
        <v>475</v>
      </c>
      <c r="X1033" s="6"/>
      <c r="Y1033" s="6"/>
      <c r="Z1033" s="6"/>
      <c r="AA1033" s="6" t="s">
        <v>353</v>
      </c>
    </row>
    <row r="1034" spans="1:27" s="4" customFormat="1" ht="42" customHeight="1">
      <c r="A1034" s="5">
        <v>0</v>
      </c>
      <c r="B1034" s="6" t="s">
        <v>5666</v>
      </c>
      <c r="C1034" s="7">
        <v>1456.8</v>
      </c>
      <c r="D1034" s="8" t="s">
        <v>5667</v>
      </c>
      <c r="E1034" s="8" t="s">
        <v>5668</v>
      </c>
      <c r="F1034" s="8" t="s">
        <v>111</v>
      </c>
      <c r="G1034" s="6" t="s">
        <v>37</v>
      </c>
      <c r="H1034" s="6" t="s">
        <v>38</v>
      </c>
      <c r="I1034" s="8"/>
      <c r="J1034" s="9">
        <v>1</v>
      </c>
      <c r="K1034" s="9">
        <v>264</v>
      </c>
      <c r="L1034" s="9">
        <v>2023</v>
      </c>
      <c r="M1034" s="8" t="s">
        <v>5669</v>
      </c>
      <c r="N1034" s="8" t="s">
        <v>40</v>
      </c>
      <c r="O1034" s="8" t="s">
        <v>41</v>
      </c>
      <c r="P1034" s="6" t="s">
        <v>42</v>
      </c>
      <c r="Q1034" s="8" t="s">
        <v>43</v>
      </c>
      <c r="R1034" s="10" t="s">
        <v>1376</v>
      </c>
      <c r="S1034" s="11"/>
      <c r="T1034" s="6"/>
      <c r="U1034" s="28" t="str">
        <f>HYPERLINK("https://media.infra-m.ru/2041/2041712/cover/2041712.jpg", "Обложка")</f>
        <v>Обложка</v>
      </c>
      <c r="V1034" s="28" t="str">
        <f>HYPERLINK("https://znanium.ru/catalog/product/1215806", "Ознакомиться")</f>
        <v>Ознакомиться</v>
      </c>
      <c r="W1034" s="8" t="s">
        <v>114</v>
      </c>
      <c r="X1034" s="6"/>
      <c r="Y1034" s="6"/>
      <c r="Z1034" s="6"/>
      <c r="AA1034" s="6" t="s">
        <v>62</v>
      </c>
    </row>
    <row r="1035" spans="1:27" s="4" customFormat="1" ht="42" customHeight="1">
      <c r="A1035" s="5">
        <v>0</v>
      </c>
      <c r="B1035" s="6" t="s">
        <v>5670</v>
      </c>
      <c r="C1035" s="7">
        <v>2856</v>
      </c>
      <c r="D1035" s="8" t="s">
        <v>5671</v>
      </c>
      <c r="E1035" s="8" t="s">
        <v>5672</v>
      </c>
      <c r="F1035" s="8" t="s">
        <v>5673</v>
      </c>
      <c r="G1035" s="6" t="s">
        <v>37</v>
      </c>
      <c r="H1035" s="6" t="s">
        <v>38</v>
      </c>
      <c r="I1035" s="8"/>
      <c r="J1035" s="9">
        <v>1</v>
      </c>
      <c r="K1035" s="9">
        <v>528</v>
      </c>
      <c r="L1035" s="9">
        <v>2023</v>
      </c>
      <c r="M1035" s="8" t="s">
        <v>5674</v>
      </c>
      <c r="N1035" s="8" t="s">
        <v>40</v>
      </c>
      <c r="O1035" s="8" t="s">
        <v>41</v>
      </c>
      <c r="P1035" s="6" t="s">
        <v>42</v>
      </c>
      <c r="Q1035" s="8" t="s">
        <v>43</v>
      </c>
      <c r="R1035" s="10" t="s">
        <v>308</v>
      </c>
      <c r="S1035" s="11"/>
      <c r="T1035" s="6"/>
      <c r="U1035" s="28" t="str">
        <f>HYPERLINK("https://media.infra-m.ru/1991/1991043/cover/1991043.jpg", "Обложка")</f>
        <v>Обложка</v>
      </c>
      <c r="V1035" s="28" t="str">
        <f>HYPERLINK("https://znanium.ru/catalog/product/1991043", "Ознакомиться")</f>
        <v>Ознакомиться</v>
      </c>
      <c r="W1035" s="8" t="s">
        <v>114</v>
      </c>
      <c r="X1035" s="6"/>
      <c r="Y1035" s="6"/>
      <c r="Z1035" s="6"/>
      <c r="AA1035" s="6" t="s">
        <v>148</v>
      </c>
    </row>
    <row r="1036" spans="1:27" s="4" customFormat="1" ht="51.95" customHeight="1">
      <c r="A1036" s="5">
        <v>0</v>
      </c>
      <c r="B1036" s="6" t="s">
        <v>5675</v>
      </c>
      <c r="C1036" s="7">
        <v>2572.8000000000002</v>
      </c>
      <c r="D1036" s="8" t="s">
        <v>5676</v>
      </c>
      <c r="E1036" s="8" t="s">
        <v>5677</v>
      </c>
      <c r="F1036" s="8" t="s">
        <v>5678</v>
      </c>
      <c r="G1036" s="6" t="s">
        <v>58</v>
      </c>
      <c r="H1036" s="6" t="s">
        <v>278</v>
      </c>
      <c r="I1036" s="8" t="s">
        <v>120</v>
      </c>
      <c r="J1036" s="9">
        <v>1</v>
      </c>
      <c r="K1036" s="9">
        <v>592</v>
      </c>
      <c r="L1036" s="9">
        <v>2024</v>
      </c>
      <c r="M1036" s="8" t="s">
        <v>5679</v>
      </c>
      <c r="N1036" s="8" t="s">
        <v>40</v>
      </c>
      <c r="O1036" s="8" t="s">
        <v>41</v>
      </c>
      <c r="P1036" s="6" t="s">
        <v>75</v>
      </c>
      <c r="Q1036" s="8" t="s">
        <v>76</v>
      </c>
      <c r="R1036" s="10" t="s">
        <v>5680</v>
      </c>
      <c r="S1036" s="11" t="s">
        <v>1801</v>
      </c>
      <c r="T1036" s="6"/>
      <c r="U1036" s="28" t="str">
        <f>HYPERLINK("https://media.infra-m.ru/1902/1902902/cover/1902902.jpg", "Обложка")</f>
        <v>Обложка</v>
      </c>
      <c r="V1036" s="12"/>
      <c r="W1036" s="8" t="s">
        <v>3146</v>
      </c>
      <c r="X1036" s="6"/>
      <c r="Y1036" s="6"/>
      <c r="Z1036" s="6"/>
      <c r="AA1036" s="6" t="s">
        <v>424</v>
      </c>
    </row>
    <row r="1037" spans="1:27" s="4" customFormat="1" ht="51.95" customHeight="1">
      <c r="A1037" s="5">
        <v>0</v>
      </c>
      <c r="B1037" s="6" t="s">
        <v>5681</v>
      </c>
      <c r="C1037" s="7">
        <v>2561.9</v>
      </c>
      <c r="D1037" s="8" t="s">
        <v>5682</v>
      </c>
      <c r="E1037" s="8" t="s">
        <v>5683</v>
      </c>
      <c r="F1037" s="8" t="s">
        <v>2164</v>
      </c>
      <c r="G1037" s="6" t="s">
        <v>58</v>
      </c>
      <c r="H1037" s="6" t="s">
        <v>38</v>
      </c>
      <c r="I1037" s="8"/>
      <c r="J1037" s="9">
        <v>1</v>
      </c>
      <c r="K1037" s="9">
        <v>816</v>
      </c>
      <c r="L1037" s="9">
        <v>2023</v>
      </c>
      <c r="M1037" s="8" t="s">
        <v>5684</v>
      </c>
      <c r="N1037" s="8" t="s">
        <v>40</v>
      </c>
      <c r="O1037" s="8" t="s">
        <v>41</v>
      </c>
      <c r="P1037" s="6" t="s">
        <v>95</v>
      </c>
      <c r="Q1037" s="8" t="s">
        <v>76</v>
      </c>
      <c r="R1037" s="10" t="s">
        <v>5685</v>
      </c>
      <c r="S1037" s="11"/>
      <c r="T1037" s="6"/>
      <c r="U1037" s="28" t="str">
        <f>HYPERLINK("https://media.infra-m.ru/1991/1991039/cover/1991039.jpg", "Обложка")</f>
        <v>Обложка</v>
      </c>
      <c r="V1037" s="28" t="str">
        <f>HYPERLINK("https://znanium.ru/catalog/product/1991039", "Ознакомиться")</f>
        <v>Ознакомиться</v>
      </c>
      <c r="W1037" s="8" t="s">
        <v>78</v>
      </c>
      <c r="X1037" s="6"/>
      <c r="Y1037" s="6"/>
      <c r="Z1037" s="6"/>
      <c r="AA1037" s="6" t="s">
        <v>5686</v>
      </c>
    </row>
    <row r="1038" spans="1:27" s="4" customFormat="1" ht="42" customHeight="1">
      <c r="A1038" s="5">
        <v>0</v>
      </c>
      <c r="B1038" s="6" t="s">
        <v>5687</v>
      </c>
      <c r="C1038" s="7">
        <v>2872.8</v>
      </c>
      <c r="D1038" s="8" t="s">
        <v>5688</v>
      </c>
      <c r="E1038" s="8" t="s">
        <v>5689</v>
      </c>
      <c r="F1038" s="8" t="s">
        <v>5690</v>
      </c>
      <c r="G1038" s="6" t="s">
        <v>58</v>
      </c>
      <c r="H1038" s="6" t="s">
        <v>38</v>
      </c>
      <c r="I1038" s="8"/>
      <c r="J1038" s="9">
        <v>1</v>
      </c>
      <c r="K1038" s="9">
        <v>656</v>
      </c>
      <c r="L1038" s="9">
        <v>2023</v>
      </c>
      <c r="M1038" s="8" t="s">
        <v>5691</v>
      </c>
      <c r="N1038" s="8" t="s">
        <v>40</v>
      </c>
      <c r="O1038" s="8" t="s">
        <v>41</v>
      </c>
      <c r="P1038" s="6" t="s">
        <v>95</v>
      </c>
      <c r="Q1038" s="8" t="s">
        <v>76</v>
      </c>
      <c r="R1038" s="10" t="s">
        <v>350</v>
      </c>
      <c r="S1038" s="11"/>
      <c r="T1038" s="6"/>
      <c r="U1038" s="28" t="str">
        <f>HYPERLINK("https://media.infra-m.ru/1991/1991040/cover/1991040.jpg", "Обложка")</f>
        <v>Обложка</v>
      </c>
      <c r="V1038" s="12"/>
      <c r="W1038" s="8" t="s">
        <v>45</v>
      </c>
      <c r="X1038" s="6"/>
      <c r="Y1038" s="6"/>
      <c r="Z1038" s="6"/>
      <c r="AA1038" s="6" t="s">
        <v>424</v>
      </c>
    </row>
    <row r="1039" spans="1:27" s="4" customFormat="1" ht="44.1" customHeight="1">
      <c r="A1039" s="5">
        <v>0</v>
      </c>
      <c r="B1039" s="6" t="s">
        <v>5692</v>
      </c>
      <c r="C1039" s="7">
        <v>1020</v>
      </c>
      <c r="D1039" s="8" t="s">
        <v>5693</v>
      </c>
      <c r="E1039" s="8" t="s">
        <v>5694</v>
      </c>
      <c r="F1039" s="8" t="s">
        <v>2375</v>
      </c>
      <c r="G1039" s="6" t="s">
        <v>37</v>
      </c>
      <c r="H1039" s="6" t="s">
        <v>84</v>
      </c>
      <c r="I1039" s="8" t="s">
        <v>85</v>
      </c>
      <c r="J1039" s="9">
        <v>1</v>
      </c>
      <c r="K1039" s="9">
        <v>176</v>
      </c>
      <c r="L1039" s="9">
        <v>2023</v>
      </c>
      <c r="M1039" s="8" t="s">
        <v>5695</v>
      </c>
      <c r="N1039" s="8" t="s">
        <v>40</v>
      </c>
      <c r="O1039" s="8" t="s">
        <v>41</v>
      </c>
      <c r="P1039" s="6" t="s">
        <v>141</v>
      </c>
      <c r="Q1039" s="8" t="s">
        <v>300</v>
      </c>
      <c r="R1039" s="10" t="s">
        <v>308</v>
      </c>
      <c r="S1039" s="11"/>
      <c r="T1039" s="6"/>
      <c r="U1039" s="28" t="str">
        <f>HYPERLINK("https://media.infra-m.ru/1905/1905876/cover/1905876.jpg", "Обложка")</f>
        <v>Обложка</v>
      </c>
      <c r="V1039" s="28" t="str">
        <f>HYPERLINK("https://znanium.ru/catalog/product/1905876", "Ознакомиться")</f>
        <v>Ознакомиться</v>
      </c>
      <c r="W1039" s="8" t="s">
        <v>568</v>
      </c>
      <c r="X1039" s="6"/>
      <c r="Y1039" s="6"/>
      <c r="Z1039" s="6"/>
      <c r="AA1039" s="6" t="s">
        <v>302</v>
      </c>
    </row>
    <row r="1040" spans="1:27" s="4" customFormat="1" ht="42" customHeight="1">
      <c r="A1040" s="5">
        <v>0</v>
      </c>
      <c r="B1040" s="6" t="s">
        <v>5696</v>
      </c>
      <c r="C1040" s="13">
        <v>941.9</v>
      </c>
      <c r="D1040" s="8" t="s">
        <v>5697</v>
      </c>
      <c r="E1040" s="8" t="s">
        <v>5698</v>
      </c>
      <c r="F1040" s="8" t="s">
        <v>5699</v>
      </c>
      <c r="G1040" s="6" t="s">
        <v>51</v>
      </c>
      <c r="H1040" s="6" t="s">
        <v>38</v>
      </c>
      <c r="I1040" s="8"/>
      <c r="J1040" s="9">
        <v>20</v>
      </c>
      <c r="K1040" s="9">
        <v>224</v>
      </c>
      <c r="L1040" s="9">
        <v>2020</v>
      </c>
      <c r="M1040" s="8" t="s">
        <v>5700</v>
      </c>
      <c r="N1040" s="8" t="s">
        <v>40</v>
      </c>
      <c r="O1040" s="8" t="s">
        <v>41</v>
      </c>
      <c r="P1040" s="6" t="s">
        <v>42</v>
      </c>
      <c r="Q1040" s="8" t="s">
        <v>43</v>
      </c>
      <c r="R1040" s="10" t="s">
        <v>69</v>
      </c>
      <c r="S1040" s="11"/>
      <c r="T1040" s="6"/>
      <c r="U1040" s="28" t="str">
        <f>HYPERLINK("https://media.infra-m.ru/1074/1074810/cover/1074810.jpg", "Обложка")</f>
        <v>Обложка</v>
      </c>
      <c r="V1040" s="28" t="str">
        <f>HYPERLINK("https://znanium.ru/catalog/product/959896", "Ознакомиться")</f>
        <v>Ознакомиться</v>
      </c>
      <c r="W1040" s="8" t="s">
        <v>45</v>
      </c>
      <c r="X1040" s="6"/>
      <c r="Y1040" s="6"/>
      <c r="Z1040" s="6"/>
      <c r="AA1040" s="6" t="s">
        <v>88</v>
      </c>
    </row>
    <row r="1041" spans="1:27" s="4" customFormat="1" ht="51.95" customHeight="1">
      <c r="A1041" s="5">
        <v>0</v>
      </c>
      <c r="B1041" s="6" t="s">
        <v>5701</v>
      </c>
      <c r="C1041" s="7">
        <v>2340</v>
      </c>
      <c r="D1041" s="8" t="s">
        <v>5702</v>
      </c>
      <c r="E1041" s="8" t="s">
        <v>5703</v>
      </c>
      <c r="F1041" s="8" t="s">
        <v>5704</v>
      </c>
      <c r="G1041" s="6" t="s">
        <v>58</v>
      </c>
      <c r="H1041" s="6" t="s">
        <v>38</v>
      </c>
      <c r="I1041" s="8"/>
      <c r="J1041" s="9">
        <v>1</v>
      </c>
      <c r="K1041" s="9">
        <v>416</v>
      </c>
      <c r="L1041" s="9">
        <v>2024</v>
      </c>
      <c r="M1041" s="8" t="s">
        <v>5705</v>
      </c>
      <c r="N1041" s="8" t="s">
        <v>40</v>
      </c>
      <c r="O1041" s="8" t="s">
        <v>41</v>
      </c>
      <c r="P1041" s="6" t="s">
        <v>42</v>
      </c>
      <c r="Q1041" s="8" t="s">
        <v>43</v>
      </c>
      <c r="R1041" s="10" t="s">
        <v>5706</v>
      </c>
      <c r="S1041" s="11"/>
      <c r="T1041" s="6"/>
      <c r="U1041" s="28" t="str">
        <f>HYPERLINK("https://media.infra-m.ru/2090/2090017/cover/2090017.jpg", "Обложка")</f>
        <v>Обложка</v>
      </c>
      <c r="V1041" s="28" t="str">
        <f>HYPERLINK("https://znanium.ru/catalog/product/2090017", "Ознакомиться")</f>
        <v>Ознакомиться</v>
      </c>
      <c r="W1041" s="8" t="s">
        <v>45</v>
      </c>
      <c r="X1041" s="6" t="s">
        <v>1609</v>
      </c>
      <c r="Y1041" s="6"/>
      <c r="Z1041" s="6"/>
      <c r="AA1041" s="6" t="s">
        <v>100</v>
      </c>
    </row>
    <row r="1042" spans="1:27" s="4" customFormat="1" ht="42" customHeight="1">
      <c r="A1042" s="5">
        <v>0</v>
      </c>
      <c r="B1042" s="6" t="s">
        <v>5707</v>
      </c>
      <c r="C1042" s="7">
        <v>1572</v>
      </c>
      <c r="D1042" s="8" t="s">
        <v>5708</v>
      </c>
      <c r="E1042" s="8" t="s">
        <v>5709</v>
      </c>
      <c r="F1042" s="8" t="s">
        <v>2685</v>
      </c>
      <c r="G1042" s="6" t="s">
        <v>37</v>
      </c>
      <c r="H1042" s="6" t="s">
        <v>38</v>
      </c>
      <c r="I1042" s="8"/>
      <c r="J1042" s="9">
        <v>1</v>
      </c>
      <c r="K1042" s="9">
        <v>336</v>
      </c>
      <c r="L1042" s="9">
        <v>2022</v>
      </c>
      <c r="M1042" s="8" t="s">
        <v>5710</v>
      </c>
      <c r="N1042" s="8" t="s">
        <v>40</v>
      </c>
      <c r="O1042" s="8" t="s">
        <v>41</v>
      </c>
      <c r="P1042" s="6" t="s">
        <v>42</v>
      </c>
      <c r="Q1042" s="8" t="s">
        <v>43</v>
      </c>
      <c r="R1042" s="10" t="s">
        <v>806</v>
      </c>
      <c r="S1042" s="11"/>
      <c r="T1042" s="6"/>
      <c r="U1042" s="28" t="str">
        <f>HYPERLINK("https://media.infra-m.ru/1839/1839362/cover/1839362.jpg", "Обложка")</f>
        <v>Обложка</v>
      </c>
      <c r="V1042" s="28" t="str">
        <f>HYPERLINK("https://znanium.ru/catalog/product/1839362", "Ознакомиться")</f>
        <v>Ознакомиться</v>
      </c>
      <c r="W1042" s="8" t="s">
        <v>2689</v>
      </c>
      <c r="X1042" s="6"/>
      <c r="Y1042" s="6"/>
      <c r="Z1042" s="6"/>
      <c r="AA1042" s="6" t="s">
        <v>46</v>
      </c>
    </row>
    <row r="1043" spans="1:27" s="4" customFormat="1" ht="51.95" customHeight="1">
      <c r="A1043" s="5">
        <v>0</v>
      </c>
      <c r="B1043" s="6" t="s">
        <v>5711</v>
      </c>
      <c r="C1043" s="7">
        <v>1444.8</v>
      </c>
      <c r="D1043" s="8" t="s">
        <v>5712</v>
      </c>
      <c r="E1043" s="8" t="s">
        <v>5713</v>
      </c>
      <c r="F1043" s="8" t="s">
        <v>5714</v>
      </c>
      <c r="G1043" s="6" t="s">
        <v>37</v>
      </c>
      <c r="H1043" s="6" t="s">
        <v>38</v>
      </c>
      <c r="I1043" s="8"/>
      <c r="J1043" s="9">
        <v>1</v>
      </c>
      <c r="K1043" s="9">
        <v>256</v>
      </c>
      <c r="L1043" s="9">
        <v>2024</v>
      </c>
      <c r="M1043" s="8" t="s">
        <v>5715</v>
      </c>
      <c r="N1043" s="8" t="s">
        <v>40</v>
      </c>
      <c r="O1043" s="8" t="s">
        <v>41</v>
      </c>
      <c r="P1043" s="6" t="s">
        <v>75</v>
      </c>
      <c r="Q1043" s="8" t="s">
        <v>157</v>
      </c>
      <c r="R1043" s="10" t="s">
        <v>1840</v>
      </c>
      <c r="S1043" s="11"/>
      <c r="T1043" s="6"/>
      <c r="U1043" s="28" t="str">
        <f>HYPERLINK("https://media.infra-m.ru/2147/2147450/cover/2147450.jpg", "Обложка")</f>
        <v>Обложка</v>
      </c>
      <c r="V1043" s="28" t="str">
        <f>HYPERLINK("https://znanium.ru/catalog/product/1231014", "Ознакомиться")</f>
        <v>Ознакомиться</v>
      </c>
      <c r="W1043" s="8" t="s">
        <v>114</v>
      </c>
      <c r="X1043" s="6"/>
      <c r="Y1043" s="6"/>
      <c r="Z1043" s="6"/>
      <c r="AA1043" s="6" t="s">
        <v>79</v>
      </c>
    </row>
    <row r="1044" spans="1:27" s="4" customFormat="1" ht="42" customHeight="1">
      <c r="A1044" s="5">
        <v>0</v>
      </c>
      <c r="B1044" s="6" t="s">
        <v>5716</v>
      </c>
      <c r="C1044" s="7">
        <v>1612.8</v>
      </c>
      <c r="D1044" s="8" t="s">
        <v>5717</v>
      </c>
      <c r="E1044" s="8" t="s">
        <v>5718</v>
      </c>
      <c r="F1044" s="8" t="s">
        <v>5719</v>
      </c>
      <c r="G1044" s="6" t="s">
        <v>58</v>
      </c>
      <c r="H1044" s="6" t="s">
        <v>38</v>
      </c>
      <c r="I1044" s="8"/>
      <c r="J1044" s="9">
        <v>1</v>
      </c>
      <c r="K1044" s="9">
        <v>296</v>
      </c>
      <c r="L1044" s="9">
        <v>2023</v>
      </c>
      <c r="M1044" s="8" t="s">
        <v>5720</v>
      </c>
      <c r="N1044" s="8" t="s">
        <v>40</v>
      </c>
      <c r="O1044" s="8" t="s">
        <v>41</v>
      </c>
      <c r="P1044" s="6" t="s">
        <v>95</v>
      </c>
      <c r="Q1044" s="8" t="s">
        <v>157</v>
      </c>
      <c r="R1044" s="10" t="s">
        <v>1376</v>
      </c>
      <c r="S1044" s="11"/>
      <c r="T1044" s="6"/>
      <c r="U1044" s="28" t="str">
        <f>HYPERLINK("https://media.infra-m.ru/1991/1991042/cover/1991042.jpg", "Обложка")</f>
        <v>Обложка</v>
      </c>
      <c r="V1044" s="28" t="str">
        <f>HYPERLINK("https://znanium.ru/catalog/product/1991042", "Ознакомиться")</f>
        <v>Ознакомиться</v>
      </c>
      <c r="W1044" s="8" t="s">
        <v>194</v>
      </c>
      <c r="X1044" s="6"/>
      <c r="Y1044" s="6"/>
      <c r="Z1044" s="6"/>
      <c r="AA1044" s="6" t="s">
        <v>62</v>
      </c>
    </row>
    <row r="1045" spans="1:27" s="4" customFormat="1" ht="42" customHeight="1">
      <c r="A1045" s="5">
        <v>0</v>
      </c>
      <c r="B1045" s="6" t="s">
        <v>5721</v>
      </c>
      <c r="C1045" s="7">
        <v>3000</v>
      </c>
      <c r="D1045" s="8" t="s">
        <v>5722</v>
      </c>
      <c r="E1045" s="8" t="s">
        <v>5718</v>
      </c>
      <c r="F1045" s="8" t="s">
        <v>2375</v>
      </c>
      <c r="G1045" s="6" t="s">
        <v>58</v>
      </c>
      <c r="H1045" s="6" t="s">
        <v>38</v>
      </c>
      <c r="I1045" s="8"/>
      <c r="J1045" s="9">
        <v>1</v>
      </c>
      <c r="K1045" s="9">
        <v>544</v>
      </c>
      <c r="L1045" s="9">
        <v>2023</v>
      </c>
      <c r="M1045" s="8" t="s">
        <v>5723</v>
      </c>
      <c r="N1045" s="8" t="s">
        <v>40</v>
      </c>
      <c r="O1045" s="8" t="s">
        <v>41</v>
      </c>
      <c r="P1045" s="6" t="s">
        <v>95</v>
      </c>
      <c r="Q1045" s="8" t="s">
        <v>157</v>
      </c>
      <c r="R1045" s="10" t="s">
        <v>69</v>
      </c>
      <c r="S1045" s="11"/>
      <c r="T1045" s="6"/>
      <c r="U1045" s="28" t="str">
        <f>HYPERLINK("https://media.infra-m.ru/2043/2043246/cover/2043246.jpg", "Обложка")</f>
        <v>Обложка</v>
      </c>
      <c r="V1045" s="28" t="str">
        <f>HYPERLINK("https://znanium.ru/catalog/product/2043246", "Ознакомиться")</f>
        <v>Ознакомиться</v>
      </c>
      <c r="W1045" s="8" t="s">
        <v>568</v>
      </c>
      <c r="X1045" s="6"/>
      <c r="Y1045" s="6"/>
      <c r="Z1045" s="6"/>
      <c r="AA1045" s="6" t="s">
        <v>115</v>
      </c>
    </row>
    <row r="1046" spans="1:27" s="4" customFormat="1" ht="42" customHeight="1">
      <c r="A1046" s="5">
        <v>0</v>
      </c>
      <c r="B1046" s="6" t="s">
        <v>5724</v>
      </c>
      <c r="C1046" s="7">
        <v>1216.8</v>
      </c>
      <c r="D1046" s="8" t="s">
        <v>5725</v>
      </c>
      <c r="E1046" s="8" t="s">
        <v>5726</v>
      </c>
      <c r="F1046" s="8" t="s">
        <v>5727</v>
      </c>
      <c r="G1046" s="6" t="s">
        <v>58</v>
      </c>
      <c r="H1046" s="6" t="s">
        <v>38</v>
      </c>
      <c r="I1046" s="8"/>
      <c r="J1046" s="9">
        <v>1</v>
      </c>
      <c r="K1046" s="9">
        <v>224</v>
      </c>
      <c r="L1046" s="9">
        <v>2023</v>
      </c>
      <c r="M1046" s="8" t="s">
        <v>5728</v>
      </c>
      <c r="N1046" s="8" t="s">
        <v>40</v>
      </c>
      <c r="O1046" s="8" t="s">
        <v>41</v>
      </c>
      <c r="P1046" s="6" t="s">
        <v>75</v>
      </c>
      <c r="Q1046" s="8" t="s">
        <v>76</v>
      </c>
      <c r="R1046" s="10" t="s">
        <v>113</v>
      </c>
      <c r="S1046" s="11"/>
      <c r="T1046" s="6"/>
      <c r="U1046" s="28" t="str">
        <f>HYPERLINK("https://media.infra-m.ru/1991/1991041/cover/1991041.jpg", "Обложка")</f>
        <v>Обложка</v>
      </c>
      <c r="V1046" s="28" t="str">
        <f>HYPERLINK("https://znanium.ru/catalog/product/1234412", "Ознакомиться")</f>
        <v>Ознакомиться</v>
      </c>
      <c r="W1046" s="8" t="s">
        <v>114</v>
      </c>
      <c r="X1046" s="6"/>
      <c r="Y1046" s="6"/>
      <c r="Z1046" s="6"/>
      <c r="AA1046" s="6" t="s">
        <v>62</v>
      </c>
    </row>
    <row r="1047" spans="1:27" s="4" customFormat="1" ht="42" customHeight="1">
      <c r="A1047" s="5">
        <v>0</v>
      </c>
      <c r="B1047" s="6" t="s">
        <v>5729</v>
      </c>
      <c r="C1047" s="13">
        <v>803.9</v>
      </c>
      <c r="D1047" s="8" t="s">
        <v>5730</v>
      </c>
      <c r="E1047" s="8" t="s">
        <v>5731</v>
      </c>
      <c r="F1047" s="8" t="s">
        <v>5732</v>
      </c>
      <c r="G1047" s="6" t="s">
        <v>58</v>
      </c>
      <c r="H1047" s="6" t="s">
        <v>38</v>
      </c>
      <c r="I1047" s="8"/>
      <c r="J1047" s="9">
        <v>1</v>
      </c>
      <c r="K1047" s="9">
        <v>168</v>
      </c>
      <c r="L1047" s="9">
        <v>2022</v>
      </c>
      <c r="M1047" s="8" t="s">
        <v>5733</v>
      </c>
      <c r="N1047" s="8" t="s">
        <v>40</v>
      </c>
      <c r="O1047" s="8" t="s">
        <v>41</v>
      </c>
      <c r="P1047" s="6" t="s">
        <v>42</v>
      </c>
      <c r="Q1047" s="8" t="s">
        <v>43</v>
      </c>
      <c r="R1047" s="10" t="s">
        <v>445</v>
      </c>
      <c r="S1047" s="11"/>
      <c r="T1047" s="6"/>
      <c r="U1047" s="28" t="str">
        <f>HYPERLINK("https://media.infra-m.ru/1836/1836962/cover/1836962.jpg", "Обложка")</f>
        <v>Обложка</v>
      </c>
      <c r="V1047" s="28" t="str">
        <f>HYPERLINK("https://znanium.ru/catalog/product/1836962", "Ознакомиться")</f>
        <v>Ознакомиться</v>
      </c>
      <c r="W1047" s="8" t="s">
        <v>114</v>
      </c>
      <c r="X1047" s="6"/>
      <c r="Y1047" s="6"/>
      <c r="Z1047" s="6"/>
      <c r="AA1047" s="6" t="s">
        <v>353</v>
      </c>
    </row>
    <row r="1048" spans="1:27" s="4" customFormat="1" ht="42" customHeight="1">
      <c r="A1048" s="5">
        <v>0</v>
      </c>
      <c r="B1048" s="6" t="s">
        <v>5734</v>
      </c>
      <c r="C1048" s="7">
        <v>1188</v>
      </c>
      <c r="D1048" s="8" t="s">
        <v>5735</v>
      </c>
      <c r="E1048" s="8" t="s">
        <v>5736</v>
      </c>
      <c r="F1048" s="8" t="s">
        <v>5737</v>
      </c>
      <c r="G1048" s="6" t="s">
        <v>58</v>
      </c>
      <c r="H1048" s="6" t="s">
        <v>84</v>
      </c>
      <c r="I1048" s="8" t="s">
        <v>250</v>
      </c>
      <c r="J1048" s="9">
        <v>1</v>
      </c>
      <c r="K1048" s="9">
        <v>192</v>
      </c>
      <c r="L1048" s="9">
        <v>2024</v>
      </c>
      <c r="M1048" s="8" t="s">
        <v>5738</v>
      </c>
      <c r="N1048" s="8" t="s">
        <v>40</v>
      </c>
      <c r="O1048" s="8" t="s">
        <v>41</v>
      </c>
      <c r="P1048" s="6" t="s">
        <v>42</v>
      </c>
      <c r="Q1048" s="8" t="s">
        <v>43</v>
      </c>
      <c r="R1048" s="10" t="s">
        <v>5739</v>
      </c>
      <c r="S1048" s="11"/>
      <c r="T1048" s="6"/>
      <c r="U1048" s="28" t="str">
        <f>HYPERLINK("https://media.infra-m.ru/2056/2056731/cover/2056731.jpg", "Обложка")</f>
        <v>Обложка</v>
      </c>
      <c r="V1048" s="28" t="str">
        <f>HYPERLINK("https://znanium.ru/catalog/product/2056731", "Ознакомиться")</f>
        <v>Ознакомиться</v>
      </c>
      <c r="W1048" s="8" t="s">
        <v>691</v>
      </c>
      <c r="X1048" s="6" t="s">
        <v>447</v>
      </c>
      <c r="Y1048" s="6"/>
      <c r="Z1048" s="6"/>
      <c r="AA1048" s="6" t="s">
        <v>100</v>
      </c>
    </row>
    <row r="1049" spans="1:27" s="4" customFormat="1" ht="42" customHeight="1">
      <c r="A1049" s="5">
        <v>0</v>
      </c>
      <c r="B1049" s="6" t="s">
        <v>5740</v>
      </c>
      <c r="C1049" s="7">
        <v>1782</v>
      </c>
      <c r="D1049" s="8" t="s">
        <v>5741</v>
      </c>
      <c r="E1049" s="8" t="s">
        <v>5742</v>
      </c>
      <c r="F1049" s="8" t="s">
        <v>5743</v>
      </c>
      <c r="G1049" s="6" t="s">
        <v>58</v>
      </c>
      <c r="H1049" s="6" t="s">
        <v>38</v>
      </c>
      <c r="I1049" s="8"/>
      <c r="J1049" s="9">
        <v>1</v>
      </c>
      <c r="K1049" s="9">
        <v>220</v>
      </c>
      <c r="L1049" s="9">
        <v>2023</v>
      </c>
      <c r="M1049" s="8" t="s">
        <v>5744</v>
      </c>
      <c r="N1049" s="8" t="s">
        <v>40</v>
      </c>
      <c r="O1049" s="8" t="s">
        <v>41</v>
      </c>
      <c r="P1049" s="6" t="s">
        <v>42</v>
      </c>
      <c r="Q1049" s="8" t="s">
        <v>43</v>
      </c>
      <c r="R1049" s="10" t="s">
        <v>5745</v>
      </c>
      <c r="S1049" s="11"/>
      <c r="T1049" s="6"/>
      <c r="U1049" s="28" t="str">
        <f>HYPERLINK("https://media.infra-m.ru/2088/2088675/cover/2088675.jpg", "Обложка")</f>
        <v>Обложка</v>
      </c>
      <c r="V1049" s="28" t="str">
        <f>HYPERLINK("https://znanium.ru/catalog/product/2051289", "Ознакомиться")</f>
        <v>Ознакомиться</v>
      </c>
      <c r="W1049" s="8" t="s">
        <v>2847</v>
      </c>
      <c r="X1049" s="6"/>
      <c r="Y1049" s="6"/>
      <c r="Z1049" s="6"/>
      <c r="AA1049" s="6" t="s">
        <v>417</v>
      </c>
    </row>
    <row r="1050" spans="1:27" s="4" customFormat="1" ht="51.95" customHeight="1">
      <c r="A1050" s="5">
        <v>0</v>
      </c>
      <c r="B1050" s="6" t="s">
        <v>5746</v>
      </c>
      <c r="C1050" s="13">
        <v>708</v>
      </c>
      <c r="D1050" s="8" t="s">
        <v>5747</v>
      </c>
      <c r="E1050" s="8" t="s">
        <v>5748</v>
      </c>
      <c r="F1050" s="8" t="s">
        <v>5749</v>
      </c>
      <c r="G1050" s="6" t="s">
        <v>51</v>
      </c>
      <c r="H1050" s="6" t="s">
        <v>84</v>
      </c>
      <c r="I1050" s="8" t="s">
        <v>120</v>
      </c>
      <c r="J1050" s="9">
        <v>1</v>
      </c>
      <c r="K1050" s="9">
        <v>118</v>
      </c>
      <c r="L1050" s="9">
        <v>2024</v>
      </c>
      <c r="M1050" s="8" t="s">
        <v>5750</v>
      </c>
      <c r="N1050" s="8" t="s">
        <v>40</v>
      </c>
      <c r="O1050" s="8" t="s">
        <v>41</v>
      </c>
      <c r="P1050" s="6" t="s">
        <v>75</v>
      </c>
      <c r="Q1050" s="8" t="s">
        <v>76</v>
      </c>
      <c r="R1050" s="10" t="s">
        <v>77</v>
      </c>
      <c r="S1050" s="11" t="s">
        <v>2053</v>
      </c>
      <c r="T1050" s="6"/>
      <c r="U1050" s="28" t="str">
        <f>HYPERLINK("https://media.infra-m.ru/2139/2139109/cover/2139109.jpg", "Обложка")</f>
        <v>Обложка</v>
      </c>
      <c r="V1050" s="28" t="str">
        <f>HYPERLINK("https://znanium.ru/catalog/product/2139109", "Ознакомиться")</f>
        <v>Ознакомиться</v>
      </c>
      <c r="W1050" s="8" t="s">
        <v>1405</v>
      </c>
      <c r="X1050" s="6"/>
      <c r="Y1050" s="6"/>
      <c r="Z1050" s="6"/>
      <c r="AA1050" s="6" t="s">
        <v>557</v>
      </c>
    </row>
    <row r="1051" spans="1:27" s="4" customFormat="1" ht="51.95" customHeight="1">
      <c r="A1051" s="5">
        <v>0</v>
      </c>
      <c r="B1051" s="6" t="s">
        <v>5751</v>
      </c>
      <c r="C1051" s="7">
        <v>2640</v>
      </c>
      <c r="D1051" s="8" t="s">
        <v>5752</v>
      </c>
      <c r="E1051" s="8" t="s">
        <v>5753</v>
      </c>
      <c r="F1051" s="8" t="s">
        <v>5754</v>
      </c>
      <c r="G1051" s="6" t="s">
        <v>58</v>
      </c>
      <c r="H1051" s="6" t="s">
        <v>38</v>
      </c>
      <c r="I1051" s="8"/>
      <c r="J1051" s="9">
        <v>1</v>
      </c>
      <c r="K1051" s="9">
        <v>480</v>
      </c>
      <c r="L1051" s="9">
        <v>2023</v>
      </c>
      <c r="M1051" s="8" t="s">
        <v>5755</v>
      </c>
      <c r="N1051" s="8" t="s">
        <v>40</v>
      </c>
      <c r="O1051" s="8" t="s">
        <v>41</v>
      </c>
      <c r="P1051" s="6" t="s">
        <v>95</v>
      </c>
      <c r="Q1051" s="8" t="s">
        <v>76</v>
      </c>
      <c r="R1051" s="10" t="s">
        <v>5756</v>
      </c>
      <c r="S1051" s="11"/>
      <c r="T1051" s="6"/>
      <c r="U1051" s="28" t="str">
        <f>HYPERLINK("https://media.infra-m.ru/2087/2087732/cover/2087732.jpg", "Обложка")</f>
        <v>Обложка</v>
      </c>
      <c r="V1051" s="28" t="str">
        <f>HYPERLINK("https://znanium.ru/catalog/product/2087732", "Ознакомиться")</f>
        <v>Ознакомиться</v>
      </c>
      <c r="W1051" s="8" t="s">
        <v>2958</v>
      </c>
      <c r="X1051" s="6"/>
      <c r="Y1051" s="6"/>
      <c r="Z1051" s="6"/>
      <c r="AA1051" s="6" t="s">
        <v>5757</v>
      </c>
    </row>
    <row r="1052" spans="1:27" s="4" customFormat="1" ht="51.95" customHeight="1">
      <c r="A1052" s="5">
        <v>0</v>
      </c>
      <c r="B1052" s="6" t="s">
        <v>5758</v>
      </c>
      <c r="C1052" s="13">
        <v>855.6</v>
      </c>
      <c r="D1052" s="8" t="s">
        <v>5759</v>
      </c>
      <c r="E1052" s="8" t="s">
        <v>5760</v>
      </c>
      <c r="F1052" s="8" t="s">
        <v>5761</v>
      </c>
      <c r="G1052" s="6" t="s">
        <v>51</v>
      </c>
      <c r="H1052" s="6" t="s">
        <v>52</v>
      </c>
      <c r="I1052" s="8" t="s">
        <v>120</v>
      </c>
      <c r="J1052" s="9">
        <v>1</v>
      </c>
      <c r="K1052" s="9">
        <v>220</v>
      </c>
      <c r="L1052" s="9">
        <v>2024</v>
      </c>
      <c r="M1052" s="8" t="s">
        <v>5762</v>
      </c>
      <c r="N1052" s="8" t="s">
        <v>40</v>
      </c>
      <c r="O1052" s="8" t="s">
        <v>41</v>
      </c>
      <c r="P1052" s="6" t="s">
        <v>75</v>
      </c>
      <c r="Q1052" s="8" t="s">
        <v>515</v>
      </c>
      <c r="R1052" s="10" t="s">
        <v>122</v>
      </c>
      <c r="S1052" s="11"/>
      <c r="T1052" s="6"/>
      <c r="U1052" s="28" t="str">
        <f>HYPERLINK("https://media.infra-m.ru/2136/2136857/cover/2136857.jpg", "Обложка")</f>
        <v>Обложка</v>
      </c>
      <c r="V1052" s="28" t="str">
        <f>HYPERLINK("https://znanium.ru/catalog/product/2136857", "Ознакомиться")</f>
        <v>Ознакомиться</v>
      </c>
      <c r="W1052" s="8" t="s">
        <v>723</v>
      </c>
      <c r="X1052" s="6" t="s">
        <v>1412</v>
      </c>
      <c r="Y1052" s="6"/>
      <c r="Z1052" s="6"/>
      <c r="AA1052" s="6" t="s">
        <v>3827</v>
      </c>
    </row>
    <row r="1053" spans="1:27" s="4" customFormat="1" ht="51.95" customHeight="1">
      <c r="A1053" s="5">
        <v>0</v>
      </c>
      <c r="B1053" s="6" t="s">
        <v>5763</v>
      </c>
      <c r="C1053" s="13">
        <v>768</v>
      </c>
      <c r="D1053" s="8" t="s">
        <v>5764</v>
      </c>
      <c r="E1053" s="8" t="s">
        <v>5765</v>
      </c>
      <c r="F1053" s="8" t="s">
        <v>5766</v>
      </c>
      <c r="G1053" s="6" t="s">
        <v>51</v>
      </c>
      <c r="H1053" s="6" t="s">
        <v>52</v>
      </c>
      <c r="I1053" s="8" t="s">
        <v>120</v>
      </c>
      <c r="J1053" s="9">
        <v>1</v>
      </c>
      <c r="K1053" s="9">
        <v>218</v>
      </c>
      <c r="L1053" s="9">
        <v>2023</v>
      </c>
      <c r="M1053" s="8" t="s">
        <v>5767</v>
      </c>
      <c r="N1053" s="8" t="s">
        <v>40</v>
      </c>
      <c r="O1053" s="8" t="s">
        <v>41</v>
      </c>
      <c r="P1053" s="6" t="s">
        <v>75</v>
      </c>
      <c r="Q1053" s="8" t="s">
        <v>515</v>
      </c>
      <c r="R1053" s="10" t="s">
        <v>122</v>
      </c>
      <c r="S1053" s="11"/>
      <c r="T1053" s="6"/>
      <c r="U1053" s="28" t="str">
        <f>HYPERLINK("https://media.infra-m.ru/1912/1912370/cover/1912370.jpg", "Обложка")</f>
        <v>Обложка</v>
      </c>
      <c r="V1053" s="28" t="str">
        <f>HYPERLINK("https://znanium.ru/catalog/product/2136857", "Ознакомиться")</f>
        <v>Ознакомиться</v>
      </c>
      <c r="W1053" s="8" t="s">
        <v>723</v>
      </c>
      <c r="X1053" s="6"/>
      <c r="Y1053" s="6"/>
      <c r="Z1053" s="6"/>
      <c r="AA1053" s="6" t="s">
        <v>3091</v>
      </c>
    </row>
    <row r="1054" spans="1:27" s="4" customFormat="1" ht="51.95" customHeight="1">
      <c r="A1054" s="5">
        <v>0</v>
      </c>
      <c r="B1054" s="6" t="s">
        <v>5768</v>
      </c>
      <c r="C1054" s="13">
        <v>473.9</v>
      </c>
      <c r="D1054" s="8" t="s">
        <v>5769</v>
      </c>
      <c r="E1054" s="8" t="s">
        <v>5770</v>
      </c>
      <c r="F1054" s="8" t="s">
        <v>5761</v>
      </c>
      <c r="G1054" s="6" t="s">
        <v>51</v>
      </c>
      <c r="H1054" s="6" t="s">
        <v>52</v>
      </c>
      <c r="I1054" s="8" t="s">
        <v>3084</v>
      </c>
      <c r="J1054" s="9">
        <v>1</v>
      </c>
      <c r="K1054" s="9">
        <v>215</v>
      </c>
      <c r="L1054" s="9">
        <v>2020</v>
      </c>
      <c r="M1054" s="8" t="s">
        <v>5771</v>
      </c>
      <c r="N1054" s="8" t="s">
        <v>40</v>
      </c>
      <c r="O1054" s="8" t="s">
        <v>41</v>
      </c>
      <c r="P1054" s="6" t="s">
        <v>75</v>
      </c>
      <c r="Q1054" s="8" t="s">
        <v>76</v>
      </c>
      <c r="R1054" s="10" t="s">
        <v>122</v>
      </c>
      <c r="S1054" s="11"/>
      <c r="T1054" s="6"/>
      <c r="U1054" s="28" t="str">
        <f>HYPERLINK("https://media.infra-m.ru/1052/1052238/cover/1052238.jpg", "Обложка")</f>
        <v>Обложка</v>
      </c>
      <c r="V1054" s="28" t="str">
        <f>HYPERLINK("https://znanium.ru/catalog/product/2136857", "Ознакомиться")</f>
        <v>Ознакомиться</v>
      </c>
      <c r="W1054" s="8" t="s">
        <v>723</v>
      </c>
      <c r="X1054" s="6"/>
      <c r="Y1054" s="6"/>
      <c r="Z1054" s="6"/>
      <c r="AA1054" s="6" t="s">
        <v>5772</v>
      </c>
    </row>
    <row r="1055" spans="1:27" s="4" customFormat="1" ht="51.95" customHeight="1">
      <c r="A1055" s="5">
        <v>0</v>
      </c>
      <c r="B1055" s="6" t="s">
        <v>5773</v>
      </c>
      <c r="C1055" s="7">
        <v>1020</v>
      </c>
      <c r="D1055" s="8" t="s">
        <v>5774</v>
      </c>
      <c r="E1055" s="8" t="s">
        <v>5775</v>
      </c>
      <c r="F1055" s="8" t="s">
        <v>5776</v>
      </c>
      <c r="G1055" s="6" t="s">
        <v>51</v>
      </c>
      <c r="H1055" s="6" t="s">
        <v>84</v>
      </c>
      <c r="I1055" s="8" t="s">
        <v>85</v>
      </c>
      <c r="J1055" s="9">
        <v>1</v>
      </c>
      <c r="K1055" s="9">
        <v>184</v>
      </c>
      <c r="L1055" s="9">
        <v>2024</v>
      </c>
      <c r="M1055" s="8" t="s">
        <v>5777</v>
      </c>
      <c r="N1055" s="8" t="s">
        <v>40</v>
      </c>
      <c r="O1055" s="8" t="s">
        <v>41</v>
      </c>
      <c r="P1055" s="6" t="s">
        <v>841</v>
      </c>
      <c r="Q1055" s="8" t="s">
        <v>43</v>
      </c>
      <c r="R1055" s="10" t="s">
        <v>5778</v>
      </c>
      <c r="S1055" s="11"/>
      <c r="T1055" s="6"/>
      <c r="U1055" s="28" t="str">
        <f>HYPERLINK("https://media.infra-m.ru/2117/2117060/cover/2117060.jpg", "Обложка")</f>
        <v>Обложка</v>
      </c>
      <c r="V1055" s="28" t="str">
        <f>HYPERLINK("https://znanium.ru/catalog/product/2117060", "Ознакомиться")</f>
        <v>Ознакомиться</v>
      </c>
      <c r="W1055" s="8" t="s">
        <v>45</v>
      </c>
      <c r="X1055" s="6"/>
      <c r="Y1055" s="6"/>
      <c r="Z1055" s="6"/>
      <c r="AA1055" s="6" t="s">
        <v>88</v>
      </c>
    </row>
    <row r="1056" spans="1:27" s="4" customFormat="1" ht="42" customHeight="1">
      <c r="A1056" s="5">
        <v>0</v>
      </c>
      <c r="B1056" s="6" t="s">
        <v>5779</v>
      </c>
      <c r="C1056" s="7">
        <v>1704</v>
      </c>
      <c r="D1056" s="8" t="s">
        <v>5780</v>
      </c>
      <c r="E1056" s="8" t="s">
        <v>5781</v>
      </c>
      <c r="F1056" s="8" t="s">
        <v>5782</v>
      </c>
      <c r="G1056" s="6" t="s">
        <v>37</v>
      </c>
      <c r="H1056" s="6" t="s">
        <v>84</v>
      </c>
      <c r="I1056" s="8" t="s">
        <v>85</v>
      </c>
      <c r="J1056" s="9">
        <v>1</v>
      </c>
      <c r="K1056" s="9">
        <v>384</v>
      </c>
      <c r="L1056" s="9">
        <v>2021</v>
      </c>
      <c r="M1056" s="8" t="s">
        <v>5783</v>
      </c>
      <c r="N1056" s="8" t="s">
        <v>40</v>
      </c>
      <c r="O1056" s="8" t="s">
        <v>41</v>
      </c>
      <c r="P1056" s="6" t="s">
        <v>42</v>
      </c>
      <c r="Q1056" s="8" t="s">
        <v>43</v>
      </c>
      <c r="R1056" s="10" t="s">
        <v>350</v>
      </c>
      <c r="S1056" s="11"/>
      <c r="T1056" s="6"/>
      <c r="U1056" s="28" t="str">
        <f>HYPERLINK("https://media.infra-m.ru/1226/1226512/cover/1226512.jpg", "Обложка")</f>
        <v>Обложка</v>
      </c>
      <c r="V1056" s="28" t="str">
        <f>HYPERLINK("https://znanium.ru/catalog/product/1226512", "Ознакомиться")</f>
        <v>Ознакомиться</v>
      </c>
      <c r="W1056" s="8" t="s">
        <v>45</v>
      </c>
      <c r="X1056" s="6"/>
      <c r="Y1056" s="6"/>
      <c r="Z1056" s="6"/>
      <c r="AA1056" s="6" t="s">
        <v>88</v>
      </c>
    </row>
    <row r="1057" spans="1:27" s="4" customFormat="1" ht="44.1" customHeight="1">
      <c r="A1057" s="5">
        <v>0</v>
      </c>
      <c r="B1057" s="6" t="s">
        <v>5784</v>
      </c>
      <c r="C1057" s="13">
        <v>689.9</v>
      </c>
      <c r="D1057" s="8" t="s">
        <v>5785</v>
      </c>
      <c r="E1057" s="8" t="s">
        <v>5786</v>
      </c>
      <c r="F1057" s="8" t="s">
        <v>5787</v>
      </c>
      <c r="G1057" s="6" t="s">
        <v>51</v>
      </c>
      <c r="H1057" s="6" t="s">
        <v>1952</v>
      </c>
      <c r="I1057" s="8"/>
      <c r="J1057" s="9">
        <v>1</v>
      </c>
      <c r="K1057" s="9">
        <v>128</v>
      </c>
      <c r="L1057" s="9">
        <v>2023</v>
      </c>
      <c r="M1057" s="8" t="s">
        <v>5788</v>
      </c>
      <c r="N1057" s="8" t="s">
        <v>40</v>
      </c>
      <c r="O1057" s="8" t="s">
        <v>41</v>
      </c>
      <c r="P1057" s="6" t="s">
        <v>4419</v>
      </c>
      <c r="Q1057" s="8" t="s">
        <v>43</v>
      </c>
      <c r="R1057" s="10" t="s">
        <v>3431</v>
      </c>
      <c r="S1057" s="11"/>
      <c r="T1057" s="6"/>
      <c r="U1057" s="28" t="str">
        <f>HYPERLINK("https://media.infra-m.ru/1910/1910874/cover/1910874.jpg", "Обложка")</f>
        <v>Обложка</v>
      </c>
      <c r="V1057" s="28" t="str">
        <f>HYPERLINK("https://znanium.ru/catalog/product/1834414", "Ознакомиться")</f>
        <v>Ознакомиться</v>
      </c>
      <c r="W1057" s="8" t="s">
        <v>344</v>
      </c>
      <c r="X1057" s="6"/>
      <c r="Y1057" s="6"/>
      <c r="Z1057" s="6"/>
      <c r="AA1057" s="6" t="s">
        <v>424</v>
      </c>
    </row>
    <row r="1058" spans="1:27" s="4" customFormat="1" ht="51.95" customHeight="1">
      <c r="A1058" s="5">
        <v>0</v>
      </c>
      <c r="B1058" s="6" t="s">
        <v>5789</v>
      </c>
      <c r="C1058" s="7">
        <v>1188</v>
      </c>
      <c r="D1058" s="8" t="s">
        <v>5790</v>
      </c>
      <c r="E1058" s="8" t="s">
        <v>5791</v>
      </c>
      <c r="F1058" s="8" t="s">
        <v>5792</v>
      </c>
      <c r="G1058" s="6" t="s">
        <v>37</v>
      </c>
      <c r="H1058" s="6" t="s">
        <v>84</v>
      </c>
      <c r="I1058" s="8" t="s">
        <v>250</v>
      </c>
      <c r="J1058" s="9">
        <v>1</v>
      </c>
      <c r="K1058" s="9">
        <v>187</v>
      </c>
      <c r="L1058" s="9">
        <v>2024</v>
      </c>
      <c r="M1058" s="8" t="s">
        <v>5793</v>
      </c>
      <c r="N1058" s="8" t="s">
        <v>40</v>
      </c>
      <c r="O1058" s="8" t="s">
        <v>41</v>
      </c>
      <c r="P1058" s="6" t="s">
        <v>42</v>
      </c>
      <c r="Q1058" s="8" t="s">
        <v>43</v>
      </c>
      <c r="R1058" s="10" t="s">
        <v>60</v>
      </c>
      <c r="S1058" s="11"/>
      <c r="T1058" s="6"/>
      <c r="U1058" s="28" t="str">
        <f>HYPERLINK("https://media.infra-m.ru/2083/2083102/cover/2083102.jpg", "Обложка")</f>
        <v>Обложка</v>
      </c>
      <c r="V1058" s="28" t="str">
        <f>HYPERLINK("https://znanium.ru/catalog/product/2083102", "Ознакомиться")</f>
        <v>Ознакомиться</v>
      </c>
      <c r="W1058" s="8" t="s">
        <v>158</v>
      </c>
      <c r="X1058" s="6"/>
      <c r="Y1058" s="6"/>
      <c r="Z1058" s="6"/>
      <c r="AA1058" s="6" t="s">
        <v>353</v>
      </c>
    </row>
    <row r="1059" spans="1:27" s="4" customFormat="1" ht="51.95" customHeight="1">
      <c r="A1059" s="5">
        <v>0</v>
      </c>
      <c r="B1059" s="6" t="s">
        <v>5794</v>
      </c>
      <c r="C1059" s="7">
        <v>1164</v>
      </c>
      <c r="D1059" s="8" t="s">
        <v>5795</v>
      </c>
      <c r="E1059" s="8" t="s">
        <v>5796</v>
      </c>
      <c r="F1059" s="8" t="s">
        <v>3178</v>
      </c>
      <c r="G1059" s="6" t="s">
        <v>51</v>
      </c>
      <c r="H1059" s="6" t="s">
        <v>84</v>
      </c>
      <c r="I1059" s="8" t="s">
        <v>250</v>
      </c>
      <c r="J1059" s="9">
        <v>1</v>
      </c>
      <c r="K1059" s="9">
        <v>210</v>
      </c>
      <c r="L1059" s="9">
        <v>2024</v>
      </c>
      <c r="M1059" s="8" t="s">
        <v>5797</v>
      </c>
      <c r="N1059" s="8" t="s">
        <v>40</v>
      </c>
      <c r="O1059" s="8" t="s">
        <v>41</v>
      </c>
      <c r="P1059" s="6" t="s">
        <v>42</v>
      </c>
      <c r="Q1059" s="8" t="s">
        <v>43</v>
      </c>
      <c r="R1059" s="10" t="s">
        <v>5798</v>
      </c>
      <c r="S1059" s="11"/>
      <c r="T1059" s="6"/>
      <c r="U1059" s="28" t="str">
        <f>HYPERLINK("https://media.infra-m.ru/2083/2083372/cover/2083372.jpg", "Обложка")</f>
        <v>Обложка</v>
      </c>
      <c r="V1059" s="28" t="str">
        <f>HYPERLINK("https://znanium.ru/catalog/product/2083372", "Ознакомиться")</f>
        <v>Ознакомиться</v>
      </c>
      <c r="W1059" s="8" t="s">
        <v>385</v>
      </c>
      <c r="X1059" s="6"/>
      <c r="Y1059" s="6"/>
      <c r="Z1059" s="6"/>
      <c r="AA1059" s="6" t="s">
        <v>417</v>
      </c>
    </row>
    <row r="1060" spans="1:27" s="4" customFormat="1" ht="51.95" customHeight="1">
      <c r="A1060" s="5">
        <v>0</v>
      </c>
      <c r="B1060" s="6" t="s">
        <v>5799</v>
      </c>
      <c r="C1060" s="7">
        <v>3540</v>
      </c>
      <c r="D1060" s="8" t="s">
        <v>5800</v>
      </c>
      <c r="E1060" s="8" t="s">
        <v>5801</v>
      </c>
      <c r="F1060" s="8" t="s">
        <v>5802</v>
      </c>
      <c r="G1060" s="6" t="s">
        <v>58</v>
      </c>
      <c r="H1060" s="6" t="s">
        <v>84</v>
      </c>
      <c r="I1060" s="8" t="s">
        <v>1173</v>
      </c>
      <c r="J1060" s="9">
        <v>1</v>
      </c>
      <c r="K1060" s="9">
        <v>642</v>
      </c>
      <c r="L1060" s="9">
        <v>2024</v>
      </c>
      <c r="M1060" s="8" t="s">
        <v>5803</v>
      </c>
      <c r="N1060" s="8" t="s">
        <v>40</v>
      </c>
      <c r="O1060" s="8" t="s">
        <v>41</v>
      </c>
      <c r="P1060" s="6" t="s">
        <v>95</v>
      </c>
      <c r="Q1060" s="8" t="s">
        <v>1231</v>
      </c>
      <c r="R1060" s="10" t="s">
        <v>5804</v>
      </c>
      <c r="S1060" s="11" t="s">
        <v>5805</v>
      </c>
      <c r="T1060" s="6"/>
      <c r="U1060" s="28" t="str">
        <f>HYPERLINK("https://media.infra-m.ru/2121/2121606/cover/2121606.jpg", "Обложка")</f>
        <v>Обложка</v>
      </c>
      <c r="V1060" s="28" t="str">
        <f>HYPERLINK("https://znanium.ru/catalog/product/2121606", "Ознакомиться")</f>
        <v>Ознакомиться</v>
      </c>
      <c r="W1060" s="8" t="s">
        <v>723</v>
      </c>
      <c r="X1060" s="6"/>
      <c r="Y1060" s="6"/>
      <c r="Z1060" s="6"/>
      <c r="AA1060" s="6" t="s">
        <v>417</v>
      </c>
    </row>
    <row r="1061" spans="1:27" s="4" customFormat="1" ht="51.95" customHeight="1">
      <c r="A1061" s="5">
        <v>0</v>
      </c>
      <c r="B1061" s="6" t="s">
        <v>5806</v>
      </c>
      <c r="C1061" s="7">
        <v>1180.8</v>
      </c>
      <c r="D1061" s="8" t="s">
        <v>5807</v>
      </c>
      <c r="E1061" s="8" t="s">
        <v>5808</v>
      </c>
      <c r="F1061" s="8" t="s">
        <v>5809</v>
      </c>
      <c r="G1061" s="6" t="s">
        <v>37</v>
      </c>
      <c r="H1061" s="6" t="s">
        <v>84</v>
      </c>
      <c r="I1061" s="8" t="s">
        <v>320</v>
      </c>
      <c r="J1061" s="9">
        <v>1</v>
      </c>
      <c r="K1061" s="9">
        <v>211</v>
      </c>
      <c r="L1061" s="9">
        <v>2023</v>
      </c>
      <c r="M1061" s="8" t="s">
        <v>5810</v>
      </c>
      <c r="N1061" s="8" t="s">
        <v>40</v>
      </c>
      <c r="O1061" s="8" t="s">
        <v>41</v>
      </c>
      <c r="P1061" s="6" t="s">
        <v>75</v>
      </c>
      <c r="Q1061" s="8" t="s">
        <v>157</v>
      </c>
      <c r="R1061" s="10" t="s">
        <v>5811</v>
      </c>
      <c r="S1061" s="11" t="s">
        <v>5812</v>
      </c>
      <c r="T1061" s="6"/>
      <c r="U1061" s="28" t="str">
        <f>HYPERLINK("https://media.infra-m.ru/2115/2115297/cover/2115297.jpg", "Обложка")</f>
        <v>Обложка</v>
      </c>
      <c r="V1061" s="28" t="str">
        <f>HYPERLINK("https://znanium.ru/catalog/product/2115295", "Ознакомиться")</f>
        <v>Ознакомиться</v>
      </c>
      <c r="W1061" s="8" t="s">
        <v>3273</v>
      </c>
      <c r="X1061" s="6"/>
      <c r="Y1061" s="6"/>
      <c r="Z1061" s="6"/>
      <c r="AA1061" s="6" t="s">
        <v>353</v>
      </c>
    </row>
    <row r="1062" spans="1:27" s="4" customFormat="1" ht="44.1" customHeight="1">
      <c r="A1062" s="5">
        <v>0</v>
      </c>
      <c r="B1062" s="6" t="s">
        <v>5813</v>
      </c>
      <c r="C1062" s="13">
        <v>780</v>
      </c>
      <c r="D1062" s="8" t="s">
        <v>5814</v>
      </c>
      <c r="E1062" s="8" t="s">
        <v>5815</v>
      </c>
      <c r="F1062" s="8" t="s">
        <v>5816</v>
      </c>
      <c r="G1062" s="6" t="s">
        <v>37</v>
      </c>
      <c r="H1062" s="6" t="s">
        <v>38</v>
      </c>
      <c r="I1062" s="8"/>
      <c r="J1062" s="9">
        <v>1</v>
      </c>
      <c r="K1062" s="9">
        <v>128</v>
      </c>
      <c r="L1062" s="9">
        <v>2024</v>
      </c>
      <c r="M1062" s="8" t="s">
        <v>5817</v>
      </c>
      <c r="N1062" s="8" t="s">
        <v>40</v>
      </c>
      <c r="O1062" s="8" t="s">
        <v>41</v>
      </c>
      <c r="P1062" s="6" t="s">
        <v>75</v>
      </c>
      <c r="Q1062" s="8" t="s">
        <v>76</v>
      </c>
      <c r="R1062" s="10" t="s">
        <v>812</v>
      </c>
      <c r="S1062" s="11"/>
      <c r="T1062" s="6"/>
      <c r="U1062" s="28" t="str">
        <f>HYPERLINK("https://media.infra-m.ru/2141/2141771/cover/2141771.jpg", "Обложка")</f>
        <v>Обложка</v>
      </c>
      <c r="V1062" s="28" t="str">
        <f>HYPERLINK("https://znanium.ru/catalog/product/2141771", "Ознакомиться")</f>
        <v>Ознакомиться</v>
      </c>
      <c r="W1062" s="8" t="s">
        <v>114</v>
      </c>
      <c r="X1062" s="6"/>
      <c r="Y1062" s="6"/>
      <c r="Z1062" s="6"/>
      <c r="AA1062" s="6" t="s">
        <v>62</v>
      </c>
    </row>
    <row r="1063" spans="1:27" s="4" customFormat="1" ht="51.95" customHeight="1">
      <c r="A1063" s="5">
        <v>0</v>
      </c>
      <c r="B1063" s="6" t="s">
        <v>5818</v>
      </c>
      <c r="C1063" s="7">
        <v>1200</v>
      </c>
      <c r="D1063" s="8" t="s">
        <v>5819</v>
      </c>
      <c r="E1063" s="8" t="s">
        <v>5820</v>
      </c>
      <c r="F1063" s="8" t="s">
        <v>5821</v>
      </c>
      <c r="G1063" s="6" t="s">
        <v>51</v>
      </c>
      <c r="H1063" s="6" t="s">
        <v>84</v>
      </c>
      <c r="I1063" s="8" t="s">
        <v>250</v>
      </c>
      <c r="J1063" s="9">
        <v>1</v>
      </c>
      <c r="K1063" s="9">
        <v>199</v>
      </c>
      <c r="L1063" s="9">
        <v>2024</v>
      </c>
      <c r="M1063" s="8" t="s">
        <v>5822</v>
      </c>
      <c r="N1063" s="8" t="s">
        <v>40</v>
      </c>
      <c r="O1063" s="8" t="s">
        <v>41</v>
      </c>
      <c r="P1063" s="6" t="s">
        <v>42</v>
      </c>
      <c r="Q1063" s="8" t="s">
        <v>43</v>
      </c>
      <c r="R1063" s="10" t="s">
        <v>496</v>
      </c>
      <c r="S1063" s="11"/>
      <c r="T1063" s="6"/>
      <c r="U1063" s="28" t="str">
        <f>HYPERLINK("https://media.infra-m.ru/2122/2122908/cover/2122908.jpg", "Обложка")</f>
        <v>Обложка</v>
      </c>
      <c r="V1063" s="28" t="str">
        <f>HYPERLINK("https://znanium.ru/catalog/product/2122908", "Ознакомиться")</f>
        <v>Ознакомиться</v>
      </c>
      <c r="W1063" s="8" t="s">
        <v>1148</v>
      </c>
      <c r="X1063" s="6" t="s">
        <v>518</v>
      </c>
      <c r="Y1063" s="6"/>
      <c r="Z1063" s="6"/>
      <c r="AA1063" s="6" t="s">
        <v>100</v>
      </c>
    </row>
    <row r="1064" spans="1:27" s="4" customFormat="1" ht="51.95" customHeight="1">
      <c r="A1064" s="5">
        <v>0</v>
      </c>
      <c r="B1064" s="6" t="s">
        <v>5823</v>
      </c>
      <c r="C1064" s="7">
        <v>2472</v>
      </c>
      <c r="D1064" s="8" t="s">
        <v>5824</v>
      </c>
      <c r="E1064" s="8" t="s">
        <v>5825</v>
      </c>
      <c r="F1064" s="8" t="s">
        <v>4280</v>
      </c>
      <c r="G1064" s="6" t="s">
        <v>58</v>
      </c>
      <c r="H1064" s="6" t="s">
        <v>38</v>
      </c>
      <c r="I1064" s="8"/>
      <c r="J1064" s="9">
        <v>1</v>
      </c>
      <c r="K1064" s="9">
        <v>448</v>
      </c>
      <c r="L1064" s="9">
        <v>2024</v>
      </c>
      <c r="M1064" s="8" t="s">
        <v>5826</v>
      </c>
      <c r="N1064" s="8" t="s">
        <v>40</v>
      </c>
      <c r="O1064" s="8" t="s">
        <v>41</v>
      </c>
      <c r="P1064" s="6" t="s">
        <v>75</v>
      </c>
      <c r="Q1064" s="8" t="s">
        <v>76</v>
      </c>
      <c r="R1064" s="10" t="s">
        <v>234</v>
      </c>
      <c r="S1064" s="11"/>
      <c r="T1064" s="6"/>
      <c r="U1064" s="28" t="str">
        <f>HYPERLINK("https://media.infra-m.ru/2121/2121604/cover/2121604.jpg", "Обложка")</f>
        <v>Обложка</v>
      </c>
      <c r="V1064" s="28" t="str">
        <f>HYPERLINK("https://znanium.ru/catalog/product/2121604", "Ознакомиться")</f>
        <v>Ознакомиться</v>
      </c>
      <c r="W1064" s="8" t="s">
        <v>731</v>
      </c>
      <c r="X1064" s="6"/>
      <c r="Y1064" s="6"/>
      <c r="Z1064" s="6"/>
      <c r="AA1064" s="6" t="s">
        <v>737</v>
      </c>
    </row>
    <row r="1065" spans="1:27" s="4" customFormat="1" ht="51.95" customHeight="1">
      <c r="A1065" s="5">
        <v>0</v>
      </c>
      <c r="B1065" s="6" t="s">
        <v>5827</v>
      </c>
      <c r="C1065" s="13">
        <v>852</v>
      </c>
      <c r="D1065" s="8" t="s">
        <v>5828</v>
      </c>
      <c r="E1065" s="8" t="s">
        <v>5829</v>
      </c>
      <c r="F1065" s="8" t="s">
        <v>5830</v>
      </c>
      <c r="G1065" s="6" t="s">
        <v>58</v>
      </c>
      <c r="H1065" s="6" t="s">
        <v>84</v>
      </c>
      <c r="I1065" s="8" t="s">
        <v>4159</v>
      </c>
      <c r="J1065" s="9">
        <v>1</v>
      </c>
      <c r="K1065" s="9">
        <v>148</v>
      </c>
      <c r="L1065" s="9">
        <v>2024</v>
      </c>
      <c r="M1065" s="8" t="s">
        <v>5831</v>
      </c>
      <c r="N1065" s="8" t="s">
        <v>40</v>
      </c>
      <c r="O1065" s="8" t="s">
        <v>41</v>
      </c>
      <c r="P1065" s="6" t="s">
        <v>75</v>
      </c>
      <c r="Q1065" s="8" t="s">
        <v>515</v>
      </c>
      <c r="R1065" s="10" t="s">
        <v>122</v>
      </c>
      <c r="S1065" s="11"/>
      <c r="T1065" s="6"/>
      <c r="U1065" s="28" t="str">
        <f>HYPERLINK("https://media.infra-m.ru/2130/2130600/cover/2130600.jpg", "Обложка")</f>
        <v>Обложка</v>
      </c>
      <c r="V1065" s="12"/>
      <c r="W1065" s="8" t="s">
        <v>731</v>
      </c>
      <c r="X1065" s="6" t="s">
        <v>1758</v>
      </c>
      <c r="Y1065" s="6"/>
      <c r="Z1065" s="6"/>
      <c r="AA1065" s="6" t="s">
        <v>100</v>
      </c>
    </row>
    <row r="1066" spans="1:27" s="4" customFormat="1" ht="51.95" customHeight="1">
      <c r="A1066" s="5">
        <v>0</v>
      </c>
      <c r="B1066" s="6" t="s">
        <v>5832</v>
      </c>
      <c r="C1066" s="13">
        <v>636</v>
      </c>
      <c r="D1066" s="8" t="s">
        <v>5833</v>
      </c>
      <c r="E1066" s="8" t="s">
        <v>5834</v>
      </c>
      <c r="F1066" s="8" t="s">
        <v>5835</v>
      </c>
      <c r="G1066" s="6" t="s">
        <v>51</v>
      </c>
      <c r="H1066" s="6" t="s">
        <v>38</v>
      </c>
      <c r="I1066" s="8"/>
      <c r="J1066" s="9">
        <v>1</v>
      </c>
      <c r="K1066" s="9">
        <v>112</v>
      </c>
      <c r="L1066" s="9">
        <v>2023</v>
      </c>
      <c r="M1066" s="8" t="s">
        <v>5836</v>
      </c>
      <c r="N1066" s="8" t="s">
        <v>40</v>
      </c>
      <c r="O1066" s="8" t="s">
        <v>41</v>
      </c>
      <c r="P1066" s="6" t="s">
        <v>75</v>
      </c>
      <c r="Q1066" s="8" t="s">
        <v>76</v>
      </c>
      <c r="R1066" s="10" t="s">
        <v>322</v>
      </c>
      <c r="S1066" s="11"/>
      <c r="T1066" s="6"/>
      <c r="U1066" s="28" t="str">
        <f>HYPERLINK("https://media.infra-m.ru/1981/1981721/cover/1981721.jpg", "Обложка")</f>
        <v>Обложка</v>
      </c>
      <c r="V1066" s="28" t="str">
        <f>HYPERLINK("https://znanium.ru/catalog/product/1981721", "Ознакомиться")</f>
        <v>Ознакомиться</v>
      </c>
      <c r="W1066" s="8" t="s">
        <v>114</v>
      </c>
      <c r="X1066" s="6"/>
      <c r="Y1066" s="6"/>
      <c r="Z1066" s="6"/>
      <c r="AA1066" s="6" t="s">
        <v>148</v>
      </c>
    </row>
    <row r="1067" spans="1:27" s="4" customFormat="1" ht="51.95" customHeight="1">
      <c r="A1067" s="5">
        <v>0</v>
      </c>
      <c r="B1067" s="6" t="s">
        <v>5837</v>
      </c>
      <c r="C1067" s="7">
        <v>1548</v>
      </c>
      <c r="D1067" s="8" t="s">
        <v>5838</v>
      </c>
      <c r="E1067" s="8" t="s">
        <v>5839</v>
      </c>
      <c r="F1067" s="8" t="s">
        <v>5840</v>
      </c>
      <c r="G1067" s="6" t="s">
        <v>37</v>
      </c>
      <c r="H1067" s="6" t="s">
        <v>1284</v>
      </c>
      <c r="I1067" s="8" t="s">
        <v>120</v>
      </c>
      <c r="J1067" s="9">
        <v>1</v>
      </c>
      <c r="K1067" s="9">
        <v>272</v>
      </c>
      <c r="L1067" s="9">
        <v>2024</v>
      </c>
      <c r="M1067" s="8" t="s">
        <v>5841</v>
      </c>
      <c r="N1067" s="8" t="s">
        <v>40</v>
      </c>
      <c r="O1067" s="8" t="s">
        <v>41</v>
      </c>
      <c r="P1067" s="6" t="s">
        <v>75</v>
      </c>
      <c r="Q1067" s="8" t="s">
        <v>76</v>
      </c>
      <c r="R1067" s="10" t="s">
        <v>5842</v>
      </c>
      <c r="S1067" s="11" t="s">
        <v>5843</v>
      </c>
      <c r="T1067" s="6"/>
      <c r="U1067" s="28" t="str">
        <f>HYPERLINK("https://media.infra-m.ru/2119/2119942/cover/2119942.jpg", "Обложка")</f>
        <v>Обложка</v>
      </c>
      <c r="V1067" s="28" t="str">
        <f>HYPERLINK("https://znanium.ru/catalog/product/2119942", "Ознакомиться")</f>
        <v>Ознакомиться</v>
      </c>
      <c r="W1067" s="8" t="s">
        <v>3850</v>
      </c>
      <c r="X1067" s="6"/>
      <c r="Y1067" s="6"/>
      <c r="Z1067" s="6"/>
      <c r="AA1067" s="6" t="s">
        <v>302</v>
      </c>
    </row>
    <row r="1068" spans="1:27" s="4" customFormat="1" ht="42" customHeight="1">
      <c r="A1068" s="5">
        <v>0</v>
      </c>
      <c r="B1068" s="6" t="s">
        <v>5844</v>
      </c>
      <c r="C1068" s="7">
        <v>1512</v>
      </c>
      <c r="D1068" s="8" t="s">
        <v>5845</v>
      </c>
      <c r="E1068" s="8" t="s">
        <v>5839</v>
      </c>
      <c r="F1068" s="8" t="s">
        <v>5840</v>
      </c>
      <c r="G1068" s="6" t="s">
        <v>37</v>
      </c>
      <c r="H1068" s="6" t="s">
        <v>1284</v>
      </c>
      <c r="I1068" s="8" t="s">
        <v>93</v>
      </c>
      <c r="J1068" s="9">
        <v>1</v>
      </c>
      <c r="K1068" s="9">
        <v>272</v>
      </c>
      <c r="L1068" s="9">
        <v>2024</v>
      </c>
      <c r="M1068" s="8" t="s">
        <v>5846</v>
      </c>
      <c r="N1068" s="8" t="s">
        <v>40</v>
      </c>
      <c r="O1068" s="8" t="s">
        <v>41</v>
      </c>
      <c r="P1068" s="6" t="s">
        <v>75</v>
      </c>
      <c r="Q1068" s="8" t="s">
        <v>96</v>
      </c>
      <c r="R1068" s="10" t="s">
        <v>97</v>
      </c>
      <c r="S1068" s="11"/>
      <c r="T1068" s="6"/>
      <c r="U1068" s="28" t="str">
        <f>HYPERLINK("https://media.infra-m.ru/2096/2096783/cover/2096783.jpg", "Обложка")</f>
        <v>Обложка</v>
      </c>
      <c r="V1068" s="28" t="str">
        <f>HYPERLINK("https://znanium.ru/catalog/product/2096783", "Ознакомиться")</f>
        <v>Ознакомиться</v>
      </c>
      <c r="W1068" s="8" t="s">
        <v>3850</v>
      </c>
      <c r="X1068" s="6"/>
      <c r="Y1068" s="6"/>
      <c r="Z1068" s="6" t="s">
        <v>136</v>
      </c>
      <c r="AA1068" s="6" t="s">
        <v>417</v>
      </c>
    </row>
    <row r="1069" spans="1:27" s="4" customFormat="1" ht="51.95" customHeight="1">
      <c r="A1069" s="5">
        <v>0</v>
      </c>
      <c r="B1069" s="6" t="s">
        <v>5847</v>
      </c>
      <c r="C1069" s="7">
        <v>1524</v>
      </c>
      <c r="D1069" s="8" t="s">
        <v>5848</v>
      </c>
      <c r="E1069" s="8" t="s">
        <v>5849</v>
      </c>
      <c r="F1069" s="8" t="s">
        <v>5850</v>
      </c>
      <c r="G1069" s="6" t="s">
        <v>37</v>
      </c>
      <c r="H1069" s="6" t="s">
        <v>52</v>
      </c>
      <c r="I1069" s="8" t="s">
        <v>120</v>
      </c>
      <c r="J1069" s="9">
        <v>1</v>
      </c>
      <c r="K1069" s="9">
        <v>275</v>
      </c>
      <c r="L1069" s="9">
        <v>2024</v>
      </c>
      <c r="M1069" s="8" t="s">
        <v>5851</v>
      </c>
      <c r="N1069" s="8" t="s">
        <v>40</v>
      </c>
      <c r="O1069" s="8" t="s">
        <v>41</v>
      </c>
      <c r="P1069" s="6" t="s">
        <v>75</v>
      </c>
      <c r="Q1069" s="8" t="s">
        <v>515</v>
      </c>
      <c r="R1069" s="10" t="s">
        <v>591</v>
      </c>
      <c r="S1069" s="11"/>
      <c r="T1069" s="6" t="s">
        <v>378</v>
      </c>
      <c r="U1069" s="28" t="str">
        <f>HYPERLINK("https://media.infra-m.ru/1872/1872521/cover/1872521.jpg", "Обложка")</f>
        <v>Обложка</v>
      </c>
      <c r="V1069" s="28" t="str">
        <f>HYPERLINK("https://znanium.ru/catalog/product/1872521", "Ознакомиться")</f>
        <v>Ознакомиться</v>
      </c>
      <c r="W1069" s="8" t="s">
        <v>1052</v>
      </c>
      <c r="X1069" s="6"/>
      <c r="Y1069" s="6"/>
      <c r="Z1069" s="6"/>
      <c r="AA1069" s="6" t="s">
        <v>148</v>
      </c>
    </row>
    <row r="1070" spans="1:27" s="4" customFormat="1" ht="42" customHeight="1">
      <c r="A1070" s="5">
        <v>0</v>
      </c>
      <c r="B1070" s="6" t="s">
        <v>5852</v>
      </c>
      <c r="C1070" s="7">
        <v>2556</v>
      </c>
      <c r="D1070" s="8" t="s">
        <v>5853</v>
      </c>
      <c r="E1070" s="8" t="s">
        <v>5854</v>
      </c>
      <c r="F1070" s="8" t="s">
        <v>5855</v>
      </c>
      <c r="G1070" s="6" t="s">
        <v>37</v>
      </c>
      <c r="H1070" s="6" t="s">
        <v>38</v>
      </c>
      <c r="I1070" s="8"/>
      <c r="J1070" s="9">
        <v>1</v>
      </c>
      <c r="K1070" s="9">
        <v>576</v>
      </c>
      <c r="L1070" s="9">
        <v>2022</v>
      </c>
      <c r="M1070" s="8" t="s">
        <v>5856</v>
      </c>
      <c r="N1070" s="8" t="s">
        <v>40</v>
      </c>
      <c r="O1070" s="8" t="s">
        <v>41</v>
      </c>
      <c r="P1070" s="6" t="s">
        <v>42</v>
      </c>
      <c r="Q1070" s="8" t="s">
        <v>43</v>
      </c>
      <c r="R1070" s="10" t="s">
        <v>69</v>
      </c>
      <c r="S1070" s="11"/>
      <c r="T1070" s="6"/>
      <c r="U1070" s="28" t="str">
        <f>HYPERLINK("https://media.infra-m.ru/1808/1808769/cover/1808769.jpg", "Обложка")</f>
        <v>Обложка</v>
      </c>
      <c r="V1070" s="28" t="str">
        <f>HYPERLINK("https://znanium.ru/catalog/product/1808769", "Ознакомиться")</f>
        <v>Ознакомиться</v>
      </c>
      <c r="W1070" s="8" t="s">
        <v>385</v>
      </c>
      <c r="X1070" s="6"/>
      <c r="Y1070" s="6"/>
      <c r="Z1070" s="6"/>
      <c r="AA1070" s="6" t="s">
        <v>79</v>
      </c>
    </row>
    <row r="1071" spans="1:27" s="4" customFormat="1" ht="51.95" customHeight="1">
      <c r="A1071" s="5">
        <v>0</v>
      </c>
      <c r="B1071" s="6" t="s">
        <v>5857</v>
      </c>
      <c r="C1071" s="7">
        <v>2033.9</v>
      </c>
      <c r="D1071" s="8" t="s">
        <v>5858</v>
      </c>
      <c r="E1071" s="8" t="s">
        <v>5859</v>
      </c>
      <c r="F1071" s="8" t="s">
        <v>5860</v>
      </c>
      <c r="G1071" s="6" t="s">
        <v>58</v>
      </c>
      <c r="H1071" s="6" t="s">
        <v>38</v>
      </c>
      <c r="I1071" s="8" t="s">
        <v>5861</v>
      </c>
      <c r="J1071" s="9">
        <v>1</v>
      </c>
      <c r="K1071" s="9">
        <v>688</v>
      </c>
      <c r="L1071" s="9">
        <v>2017</v>
      </c>
      <c r="M1071" s="8" t="s">
        <v>5862</v>
      </c>
      <c r="N1071" s="8" t="s">
        <v>40</v>
      </c>
      <c r="O1071" s="8" t="s">
        <v>41</v>
      </c>
      <c r="P1071" s="6" t="s">
        <v>42</v>
      </c>
      <c r="Q1071" s="8" t="s">
        <v>43</v>
      </c>
      <c r="R1071" s="10" t="s">
        <v>3889</v>
      </c>
      <c r="S1071" s="11"/>
      <c r="T1071" s="6"/>
      <c r="U1071" s="28" t="str">
        <f>HYPERLINK("https://media.infra-m.ru/1919/1919389/cover/1919389.jpg", "Обложка")</f>
        <v>Обложка</v>
      </c>
      <c r="V1071" s="28" t="str">
        <f>HYPERLINK("https://znanium.ru/catalog/product/496502", "Ознакомиться")</f>
        <v>Ознакомиться</v>
      </c>
      <c r="W1071" s="8"/>
      <c r="X1071" s="6"/>
      <c r="Y1071" s="6"/>
      <c r="Z1071" s="6"/>
      <c r="AA1071" s="6" t="s">
        <v>302</v>
      </c>
    </row>
    <row r="1072" spans="1:27" s="4" customFormat="1" ht="42" customHeight="1">
      <c r="A1072" s="5">
        <v>0</v>
      </c>
      <c r="B1072" s="6" t="s">
        <v>5863</v>
      </c>
      <c r="C1072" s="13">
        <v>780</v>
      </c>
      <c r="D1072" s="8" t="s">
        <v>5864</v>
      </c>
      <c r="E1072" s="8" t="s">
        <v>5865</v>
      </c>
      <c r="F1072" s="8" t="s">
        <v>5866</v>
      </c>
      <c r="G1072" s="6" t="s">
        <v>51</v>
      </c>
      <c r="H1072" s="6" t="s">
        <v>84</v>
      </c>
      <c r="I1072" s="8" t="s">
        <v>250</v>
      </c>
      <c r="J1072" s="9">
        <v>1</v>
      </c>
      <c r="K1072" s="9">
        <v>160</v>
      </c>
      <c r="L1072" s="9">
        <v>2022</v>
      </c>
      <c r="M1072" s="8" t="s">
        <v>5867</v>
      </c>
      <c r="N1072" s="8" t="s">
        <v>40</v>
      </c>
      <c r="O1072" s="8" t="s">
        <v>41</v>
      </c>
      <c r="P1072" s="6" t="s">
        <v>42</v>
      </c>
      <c r="Q1072" s="8" t="s">
        <v>43</v>
      </c>
      <c r="R1072" s="10" t="s">
        <v>69</v>
      </c>
      <c r="S1072" s="11"/>
      <c r="T1072" s="6"/>
      <c r="U1072" s="28" t="str">
        <f>HYPERLINK("https://media.infra-m.ru/1845/1845985/cover/1845985.jpg", "Обложка")</f>
        <v>Обложка</v>
      </c>
      <c r="V1072" s="28" t="str">
        <f>HYPERLINK("https://znanium.ru/catalog/product/1845985", "Ознакомиться")</f>
        <v>Ознакомиться</v>
      </c>
      <c r="W1072" s="8" t="s">
        <v>107</v>
      </c>
      <c r="X1072" s="6"/>
      <c r="Y1072" s="6"/>
      <c r="Z1072" s="6"/>
      <c r="AA1072" s="6" t="s">
        <v>353</v>
      </c>
    </row>
    <row r="1073" spans="1:27" s="4" customFormat="1" ht="42" customHeight="1">
      <c r="A1073" s="5">
        <v>0</v>
      </c>
      <c r="B1073" s="6" t="s">
        <v>5868</v>
      </c>
      <c r="C1073" s="7">
        <v>1852.8</v>
      </c>
      <c r="D1073" s="8" t="s">
        <v>5869</v>
      </c>
      <c r="E1073" s="8" t="s">
        <v>5870</v>
      </c>
      <c r="F1073" s="8" t="s">
        <v>969</v>
      </c>
      <c r="G1073" s="6" t="s">
        <v>58</v>
      </c>
      <c r="H1073" s="6" t="s">
        <v>38</v>
      </c>
      <c r="I1073" s="8"/>
      <c r="J1073" s="9">
        <v>1</v>
      </c>
      <c r="K1073" s="9">
        <v>336</v>
      </c>
      <c r="L1073" s="9">
        <v>2023</v>
      </c>
      <c r="M1073" s="8" t="s">
        <v>5871</v>
      </c>
      <c r="N1073" s="8" t="s">
        <v>40</v>
      </c>
      <c r="O1073" s="8" t="s">
        <v>41</v>
      </c>
      <c r="P1073" s="6" t="s">
        <v>42</v>
      </c>
      <c r="Q1073" s="8" t="s">
        <v>43</v>
      </c>
      <c r="R1073" s="10" t="s">
        <v>308</v>
      </c>
      <c r="S1073" s="11"/>
      <c r="T1073" s="6"/>
      <c r="U1073" s="28" t="str">
        <f>HYPERLINK("https://media.infra-m.ru/2041/2041703/cover/2041703.jpg", "Обложка")</f>
        <v>Обложка</v>
      </c>
      <c r="V1073" s="28" t="str">
        <f>HYPERLINK("https://znanium.ru/catalog/product/1840498", "Ознакомиться")</f>
        <v>Ознакомиться</v>
      </c>
      <c r="W1073" s="8" t="s">
        <v>78</v>
      </c>
      <c r="X1073" s="6"/>
      <c r="Y1073" s="6"/>
      <c r="Z1073" s="6"/>
      <c r="AA1073" s="6" t="s">
        <v>655</v>
      </c>
    </row>
    <row r="1074" spans="1:27" s="4" customFormat="1" ht="51.95" customHeight="1">
      <c r="A1074" s="5">
        <v>0</v>
      </c>
      <c r="B1074" s="6" t="s">
        <v>5872</v>
      </c>
      <c r="C1074" s="7">
        <v>1241.9000000000001</v>
      </c>
      <c r="D1074" s="8" t="s">
        <v>5873</v>
      </c>
      <c r="E1074" s="8" t="s">
        <v>5874</v>
      </c>
      <c r="F1074" s="8" t="s">
        <v>5875</v>
      </c>
      <c r="G1074" s="6" t="s">
        <v>58</v>
      </c>
      <c r="H1074" s="6" t="s">
        <v>38</v>
      </c>
      <c r="I1074" s="8"/>
      <c r="J1074" s="9">
        <v>1</v>
      </c>
      <c r="K1074" s="9">
        <v>304</v>
      </c>
      <c r="L1074" s="9">
        <v>2019</v>
      </c>
      <c r="M1074" s="8" t="s">
        <v>5876</v>
      </c>
      <c r="N1074" s="8" t="s">
        <v>40</v>
      </c>
      <c r="O1074" s="8" t="s">
        <v>41</v>
      </c>
      <c r="P1074" s="6" t="s">
        <v>42</v>
      </c>
      <c r="Q1074" s="8" t="s">
        <v>157</v>
      </c>
      <c r="R1074" s="10" t="s">
        <v>5877</v>
      </c>
      <c r="S1074" s="11"/>
      <c r="T1074" s="6"/>
      <c r="U1074" s="28" t="str">
        <f>HYPERLINK("https://media.infra-m.ru/1011/1011092/cover/1011092.jpg", "Обложка")</f>
        <v>Обложка</v>
      </c>
      <c r="V1074" s="28" t="str">
        <f>HYPERLINK("https://znanium.ru/catalog/product/1011092", "Ознакомиться")</f>
        <v>Ознакомиться</v>
      </c>
      <c r="W1074" s="8" t="s">
        <v>114</v>
      </c>
      <c r="X1074" s="6"/>
      <c r="Y1074" s="6"/>
      <c r="Z1074" s="6"/>
      <c r="AA1074" s="6" t="s">
        <v>148</v>
      </c>
    </row>
    <row r="1075" spans="1:27" s="4" customFormat="1" ht="42" customHeight="1">
      <c r="A1075" s="5">
        <v>0</v>
      </c>
      <c r="B1075" s="6" t="s">
        <v>5878</v>
      </c>
      <c r="C1075" s="7">
        <v>1385.9</v>
      </c>
      <c r="D1075" s="8" t="s">
        <v>5879</v>
      </c>
      <c r="E1075" s="8" t="s">
        <v>5880</v>
      </c>
      <c r="F1075" s="8" t="s">
        <v>5881</v>
      </c>
      <c r="G1075" s="6" t="s">
        <v>58</v>
      </c>
      <c r="H1075" s="6" t="s">
        <v>84</v>
      </c>
      <c r="I1075" s="8" t="s">
        <v>85</v>
      </c>
      <c r="J1075" s="9">
        <v>1</v>
      </c>
      <c r="K1075" s="9">
        <v>256</v>
      </c>
      <c r="L1075" s="9">
        <v>2023</v>
      </c>
      <c r="M1075" s="8" t="s">
        <v>5882</v>
      </c>
      <c r="N1075" s="8" t="s">
        <v>40</v>
      </c>
      <c r="O1075" s="8" t="s">
        <v>41</v>
      </c>
      <c r="P1075" s="6" t="s">
        <v>42</v>
      </c>
      <c r="Q1075" s="8" t="s">
        <v>43</v>
      </c>
      <c r="R1075" s="10" t="s">
        <v>113</v>
      </c>
      <c r="S1075" s="11"/>
      <c r="T1075" s="6"/>
      <c r="U1075" s="28" t="str">
        <f>HYPERLINK("https://media.infra-m.ru/2030/2030894/cover/2030894.jpg", "Обложка")</f>
        <v>Обложка</v>
      </c>
      <c r="V1075" s="28" t="str">
        <f>HYPERLINK("https://znanium.ru/catalog/product/999954", "Ознакомиться")</f>
        <v>Ознакомиться</v>
      </c>
      <c r="W1075" s="8" t="s">
        <v>45</v>
      </c>
      <c r="X1075" s="6"/>
      <c r="Y1075" s="6"/>
      <c r="Z1075" s="6"/>
      <c r="AA1075" s="6" t="s">
        <v>79</v>
      </c>
    </row>
    <row r="1076" spans="1:27" s="4" customFormat="1" ht="51.95" customHeight="1">
      <c r="A1076" s="5">
        <v>0</v>
      </c>
      <c r="B1076" s="6" t="s">
        <v>5883</v>
      </c>
      <c r="C1076" s="7">
        <v>1284</v>
      </c>
      <c r="D1076" s="8" t="s">
        <v>5884</v>
      </c>
      <c r="E1076" s="8" t="s">
        <v>5885</v>
      </c>
      <c r="F1076" s="8" t="s">
        <v>5886</v>
      </c>
      <c r="G1076" s="6" t="s">
        <v>37</v>
      </c>
      <c r="H1076" s="6" t="s">
        <v>38</v>
      </c>
      <c r="I1076" s="8"/>
      <c r="J1076" s="9">
        <v>1</v>
      </c>
      <c r="K1076" s="9">
        <v>288</v>
      </c>
      <c r="L1076" s="9">
        <v>2021</v>
      </c>
      <c r="M1076" s="8" t="s">
        <v>5887</v>
      </c>
      <c r="N1076" s="8" t="s">
        <v>40</v>
      </c>
      <c r="O1076" s="8" t="s">
        <v>41</v>
      </c>
      <c r="P1076" s="6" t="s">
        <v>42</v>
      </c>
      <c r="Q1076" s="8" t="s">
        <v>43</v>
      </c>
      <c r="R1076" s="10" t="s">
        <v>5888</v>
      </c>
      <c r="S1076" s="11"/>
      <c r="T1076" s="6"/>
      <c r="U1076" s="28" t="str">
        <f>HYPERLINK("https://media.infra-m.ru/1197/1197241/cover/1197241.jpg", "Обложка")</f>
        <v>Обложка</v>
      </c>
      <c r="V1076" s="28" t="str">
        <f>HYPERLINK("https://znanium.ru/catalog/product/1197241", "Ознакомиться")</f>
        <v>Ознакомиться</v>
      </c>
      <c r="W1076" s="8" t="s">
        <v>5889</v>
      </c>
      <c r="X1076" s="6"/>
      <c r="Y1076" s="6"/>
      <c r="Z1076" s="6"/>
      <c r="AA1076" s="6" t="s">
        <v>148</v>
      </c>
    </row>
    <row r="1077" spans="1:27" s="4" customFormat="1" ht="42" customHeight="1">
      <c r="A1077" s="5">
        <v>0</v>
      </c>
      <c r="B1077" s="6" t="s">
        <v>5890</v>
      </c>
      <c r="C1077" s="7">
        <v>1872</v>
      </c>
      <c r="D1077" s="8" t="s">
        <v>5891</v>
      </c>
      <c r="E1077" s="8" t="s">
        <v>5892</v>
      </c>
      <c r="F1077" s="8" t="s">
        <v>5893</v>
      </c>
      <c r="G1077" s="6" t="s">
        <v>37</v>
      </c>
      <c r="H1077" s="6" t="s">
        <v>84</v>
      </c>
      <c r="I1077" s="8" t="s">
        <v>250</v>
      </c>
      <c r="J1077" s="9">
        <v>1</v>
      </c>
      <c r="K1077" s="9">
        <v>338</v>
      </c>
      <c r="L1077" s="9">
        <v>2023</v>
      </c>
      <c r="M1077" s="8" t="s">
        <v>5894</v>
      </c>
      <c r="N1077" s="8" t="s">
        <v>40</v>
      </c>
      <c r="O1077" s="8" t="s">
        <v>41</v>
      </c>
      <c r="P1077" s="6" t="s">
        <v>42</v>
      </c>
      <c r="Q1077" s="8" t="s">
        <v>43</v>
      </c>
      <c r="R1077" s="10" t="s">
        <v>69</v>
      </c>
      <c r="S1077" s="11"/>
      <c r="T1077" s="6"/>
      <c r="U1077" s="28" t="str">
        <f>HYPERLINK("https://media.infra-m.ru/2072/2072462/cover/2072462.jpg", "Обложка")</f>
        <v>Обложка</v>
      </c>
      <c r="V1077" s="28" t="str">
        <f>HYPERLINK("https://znanium.ru/catalog/product/1938059", "Ознакомиться")</f>
        <v>Ознакомиться</v>
      </c>
      <c r="W1077" s="8" t="s">
        <v>5895</v>
      </c>
      <c r="X1077" s="6"/>
      <c r="Y1077" s="6"/>
      <c r="Z1077" s="6"/>
      <c r="AA1077" s="6" t="s">
        <v>417</v>
      </c>
    </row>
    <row r="1078" spans="1:27" s="4" customFormat="1" ht="42" customHeight="1">
      <c r="A1078" s="5">
        <v>0</v>
      </c>
      <c r="B1078" s="6" t="s">
        <v>5896</v>
      </c>
      <c r="C1078" s="7">
        <v>1240.8</v>
      </c>
      <c r="D1078" s="8" t="s">
        <v>5897</v>
      </c>
      <c r="E1078" s="8" t="s">
        <v>5898</v>
      </c>
      <c r="F1078" s="8" t="s">
        <v>5899</v>
      </c>
      <c r="G1078" s="6" t="s">
        <v>58</v>
      </c>
      <c r="H1078" s="6" t="s">
        <v>436</v>
      </c>
      <c r="I1078" s="8"/>
      <c r="J1078" s="9">
        <v>1</v>
      </c>
      <c r="K1078" s="9">
        <v>224</v>
      </c>
      <c r="L1078" s="9">
        <v>2024</v>
      </c>
      <c r="M1078" s="8" t="s">
        <v>5900</v>
      </c>
      <c r="N1078" s="8" t="s">
        <v>40</v>
      </c>
      <c r="O1078" s="8" t="s">
        <v>41</v>
      </c>
      <c r="P1078" s="6" t="s">
        <v>75</v>
      </c>
      <c r="Q1078" s="8" t="s">
        <v>76</v>
      </c>
      <c r="R1078" s="10" t="s">
        <v>308</v>
      </c>
      <c r="S1078" s="11"/>
      <c r="T1078" s="6"/>
      <c r="U1078" s="28" t="str">
        <f>HYPERLINK("https://media.infra-m.ru/2092/2092496/cover/2092496.jpg", "Обложка")</f>
        <v>Обложка</v>
      </c>
      <c r="V1078" s="28" t="str">
        <f>HYPERLINK("https://znanium.ru/catalog/product/353362", "Ознакомиться")</f>
        <v>Ознакомиться</v>
      </c>
      <c r="W1078" s="8" t="s">
        <v>536</v>
      </c>
      <c r="X1078" s="6"/>
      <c r="Y1078" s="6"/>
      <c r="Z1078" s="6"/>
      <c r="AA1078" s="6" t="s">
        <v>293</v>
      </c>
    </row>
    <row r="1079" spans="1:27" s="4" customFormat="1" ht="42" customHeight="1">
      <c r="A1079" s="5">
        <v>0</v>
      </c>
      <c r="B1079" s="6" t="s">
        <v>5901</v>
      </c>
      <c r="C1079" s="7">
        <v>1968</v>
      </c>
      <c r="D1079" s="8" t="s">
        <v>5902</v>
      </c>
      <c r="E1079" s="8" t="s">
        <v>5903</v>
      </c>
      <c r="F1079" s="8" t="s">
        <v>5904</v>
      </c>
      <c r="G1079" s="6" t="s">
        <v>37</v>
      </c>
      <c r="H1079" s="6" t="s">
        <v>84</v>
      </c>
      <c r="I1079" s="8" t="s">
        <v>85</v>
      </c>
      <c r="J1079" s="9">
        <v>1</v>
      </c>
      <c r="K1079" s="9">
        <v>432</v>
      </c>
      <c r="L1079" s="9">
        <v>2021</v>
      </c>
      <c r="M1079" s="8" t="s">
        <v>5905</v>
      </c>
      <c r="N1079" s="8" t="s">
        <v>40</v>
      </c>
      <c r="O1079" s="8" t="s">
        <v>41</v>
      </c>
      <c r="P1079" s="6" t="s">
        <v>42</v>
      </c>
      <c r="Q1079" s="8" t="s">
        <v>43</v>
      </c>
      <c r="R1079" s="10" t="s">
        <v>5906</v>
      </c>
      <c r="S1079" s="11"/>
      <c r="T1079" s="6"/>
      <c r="U1079" s="28" t="str">
        <f>HYPERLINK("https://media.infra-m.ru/1668/1668630/cover/1668630.jpg", "Обложка")</f>
        <v>Обложка</v>
      </c>
      <c r="V1079" s="28" t="str">
        <f>HYPERLINK("https://znanium.ru/catalog/product/1160970", "Ознакомиться")</f>
        <v>Ознакомиться</v>
      </c>
      <c r="W1079" s="8" t="s">
        <v>45</v>
      </c>
      <c r="X1079" s="6"/>
      <c r="Y1079" s="6"/>
      <c r="Z1079" s="6"/>
      <c r="AA1079" s="6" t="s">
        <v>115</v>
      </c>
    </row>
    <row r="1080" spans="1:27" s="4" customFormat="1" ht="42" customHeight="1">
      <c r="A1080" s="5">
        <v>0</v>
      </c>
      <c r="B1080" s="6" t="s">
        <v>5907</v>
      </c>
      <c r="C1080" s="7">
        <v>1024.8</v>
      </c>
      <c r="D1080" s="8" t="s">
        <v>5908</v>
      </c>
      <c r="E1080" s="8" t="s">
        <v>5909</v>
      </c>
      <c r="F1080" s="8" t="s">
        <v>5910</v>
      </c>
      <c r="G1080" s="6" t="s">
        <v>58</v>
      </c>
      <c r="H1080" s="6" t="s">
        <v>38</v>
      </c>
      <c r="I1080" s="8"/>
      <c r="J1080" s="9">
        <v>1</v>
      </c>
      <c r="K1080" s="9">
        <v>184</v>
      </c>
      <c r="L1080" s="9">
        <v>2023</v>
      </c>
      <c r="M1080" s="8" t="s">
        <v>5911</v>
      </c>
      <c r="N1080" s="8" t="s">
        <v>40</v>
      </c>
      <c r="O1080" s="8" t="s">
        <v>41</v>
      </c>
      <c r="P1080" s="6" t="s">
        <v>75</v>
      </c>
      <c r="Q1080" s="8" t="s">
        <v>76</v>
      </c>
      <c r="R1080" s="10" t="s">
        <v>308</v>
      </c>
      <c r="S1080" s="11"/>
      <c r="T1080" s="6"/>
      <c r="U1080" s="28" t="str">
        <f>HYPERLINK("https://media.infra-m.ru/2045/2045928/cover/2045928.jpg", "Обложка")</f>
        <v>Обложка</v>
      </c>
      <c r="V1080" s="28" t="str">
        <f>HYPERLINK("https://znanium.ru/catalog/product/2045928", "Ознакомиться")</f>
        <v>Ознакомиться</v>
      </c>
      <c r="W1080" s="8" t="s">
        <v>114</v>
      </c>
      <c r="X1080" s="6"/>
      <c r="Y1080" s="6"/>
      <c r="Z1080" s="6"/>
      <c r="AA1080" s="6" t="s">
        <v>62</v>
      </c>
    </row>
    <row r="1081" spans="1:27" s="4" customFormat="1" ht="51.95" customHeight="1">
      <c r="A1081" s="5">
        <v>0</v>
      </c>
      <c r="B1081" s="6" t="s">
        <v>5912</v>
      </c>
      <c r="C1081" s="13">
        <v>749.9</v>
      </c>
      <c r="D1081" s="8" t="s">
        <v>5913</v>
      </c>
      <c r="E1081" s="8" t="s">
        <v>5914</v>
      </c>
      <c r="F1081" s="8" t="s">
        <v>3292</v>
      </c>
      <c r="G1081" s="6" t="s">
        <v>51</v>
      </c>
      <c r="H1081" s="6" t="s">
        <v>52</v>
      </c>
      <c r="I1081" s="8" t="s">
        <v>120</v>
      </c>
      <c r="J1081" s="9">
        <v>1</v>
      </c>
      <c r="K1081" s="9">
        <v>148</v>
      </c>
      <c r="L1081" s="9">
        <v>2022</v>
      </c>
      <c r="M1081" s="8" t="s">
        <v>5915</v>
      </c>
      <c r="N1081" s="8" t="s">
        <v>40</v>
      </c>
      <c r="O1081" s="8" t="s">
        <v>41</v>
      </c>
      <c r="P1081" s="6" t="s">
        <v>75</v>
      </c>
      <c r="Q1081" s="8" t="s">
        <v>1231</v>
      </c>
      <c r="R1081" s="10" t="s">
        <v>469</v>
      </c>
      <c r="S1081" s="11"/>
      <c r="T1081" s="6"/>
      <c r="U1081" s="28" t="str">
        <f>HYPERLINK("https://media.infra-m.ru/1850/1850716/cover/1850716.jpg", "Обложка")</f>
        <v>Обложка</v>
      </c>
      <c r="V1081" s="12"/>
      <c r="W1081" s="8" t="s">
        <v>3294</v>
      </c>
      <c r="X1081" s="6"/>
      <c r="Y1081" s="6"/>
      <c r="Z1081" s="6"/>
      <c r="AA1081" s="6" t="s">
        <v>115</v>
      </c>
    </row>
    <row r="1082" spans="1:27" s="4" customFormat="1" ht="42" customHeight="1">
      <c r="A1082" s="5">
        <v>0</v>
      </c>
      <c r="B1082" s="6" t="s">
        <v>5916</v>
      </c>
      <c r="C1082" s="13">
        <v>648</v>
      </c>
      <c r="D1082" s="8" t="s">
        <v>5917</v>
      </c>
      <c r="E1082" s="8" t="s">
        <v>5918</v>
      </c>
      <c r="F1082" s="8" t="s">
        <v>2375</v>
      </c>
      <c r="G1082" s="6" t="s">
        <v>51</v>
      </c>
      <c r="H1082" s="6" t="s">
        <v>84</v>
      </c>
      <c r="I1082" s="8" t="s">
        <v>85</v>
      </c>
      <c r="J1082" s="9">
        <v>1</v>
      </c>
      <c r="K1082" s="9">
        <v>157</v>
      </c>
      <c r="L1082" s="9">
        <v>2019</v>
      </c>
      <c r="M1082" s="8" t="s">
        <v>5919</v>
      </c>
      <c r="N1082" s="8" t="s">
        <v>40</v>
      </c>
      <c r="O1082" s="8" t="s">
        <v>41</v>
      </c>
      <c r="P1082" s="6" t="s">
        <v>42</v>
      </c>
      <c r="Q1082" s="8" t="s">
        <v>43</v>
      </c>
      <c r="R1082" s="10" t="s">
        <v>314</v>
      </c>
      <c r="S1082" s="11"/>
      <c r="T1082" s="6"/>
      <c r="U1082" s="28" t="str">
        <f>HYPERLINK("https://media.infra-m.ru/1003/1003237/cover/1003237.jpg", "Обложка")</f>
        <v>Обложка</v>
      </c>
      <c r="V1082" s="28" t="str">
        <f>HYPERLINK("https://znanium.ru/catalog/product/1003237", "Ознакомиться")</f>
        <v>Ознакомиться</v>
      </c>
      <c r="W1082" s="8" t="s">
        <v>568</v>
      </c>
      <c r="X1082" s="6"/>
      <c r="Y1082" s="6"/>
      <c r="Z1082" s="6"/>
      <c r="AA1082" s="6" t="s">
        <v>431</v>
      </c>
    </row>
    <row r="1083" spans="1:27" s="4" customFormat="1" ht="51.95" customHeight="1">
      <c r="A1083" s="5">
        <v>0</v>
      </c>
      <c r="B1083" s="6" t="s">
        <v>5920</v>
      </c>
      <c r="C1083" s="7">
        <v>1920</v>
      </c>
      <c r="D1083" s="8" t="s">
        <v>5921</v>
      </c>
      <c r="E1083" s="8" t="s">
        <v>5922</v>
      </c>
      <c r="F1083" s="8" t="s">
        <v>5923</v>
      </c>
      <c r="G1083" s="6" t="s">
        <v>37</v>
      </c>
      <c r="H1083" s="6" t="s">
        <v>84</v>
      </c>
      <c r="I1083" s="8" t="s">
        <v>120</v>
      </c>
      <c r="J1083" s="9">
        <v>1</v>
      </c>
      <c r="K1083" s="9">
        <v>322</v>
      </c>
      <c r="L1083" s="9">
        <v>2024</v>
      </c>
      <c r="M1083" s="8" t="s">
        <v>5924</v>
      </c>
      <c r="N1083" s="8" t="s">
        <v>40</v>
      </c>
      <c r="O1083" s="8" t="s">
        <v>41</v>
      </c>
      <c r="P1083" s="6" t="s">
        <v>75</v>
      </c>
      <c r="Q1083" s="8" t="s">
        <v>515</v>
      </c>
      <c r="R1083" s="10" t="s">
        <v>5925</v>
      </c>
      <c r="S1083" s="11"/>
      <c r="T1083" s="6"/>
      <c r="U1083" s="28" t="str">
        <f>HYPERLINK("https://media.infra-m.ru/2133/2133097/cover/2133097.jpg", "Обложка")</f>
        <v>Обложка</v>
      </c>
      <c r="V1083" s="28" t="str">
        <f>HYPERLINK("https://znanium.ru/catalog/product/2133097", "Ознакомиться")</f>
        <v>Ознакомиться</v>
      </c>
      <c r="W1083" s="8" t="s">
        <v>3737</v>
      </c>
      <c r="X1083" s="6"/>
      <c r="Y1083" s="6"/>
      <c r="Z1083" s="6"/>
      <c r="AA1083" s="6" t="s">
        <v>1842</v>
      </c>
    </row>
    <row r="1084" spans="1:27" s="4" customFormat="1" ht="51.95" customHeight="1">
      <c r="A1084" s="5">
        <v>0</v>
      </c>
      <c r="B1084" s="6" t="s">
        <v>5926</v>
      </c>
      <c r="C1084" s="7">
        <v>1188</v>
      </c>
      <c r="D1084" s="8" t="s">
        <v>5927</v>
      </c>
      <c r="E1084" s="8" t="s">
        <v>5928</v>
      </c>
      <c r="F1084" s="8" t="s">
        <v>5929</v>
      </c>
      <c r="G1084" s="6" t="s">
        <v>58</v>
      </c>
      <c r="H1084" s="6" t="s">
        <v>84</v>
      </c>
      <c r="I1084" s="8" t="s">
        <v>320</v>
      </c>
      <c r="J1084" s="9">
        <v>1</v>
      </c>
      <c r="K1084" s="9">
        <v>210</v>
      </c>
      <c r="L1084" s="9">
        <v>2023</v>
      </c>
      <c r="M1084" s="8" t="s">
        <v>5930</v>
      </c>
      <c r="N1084" s="8" t="s">
        <v>40</v>
      </c>
      <c r="O1084" s="8" t="s">
        <v>41</v>
      </c>
      <c r="P1084" s="6" t="s">
        <v>75</v>
      </c>
      <c r="Q1084" s="8" t="s">
        <v>157</v>
      </c>
      <c r="R1084" s="10" t="s">
        <v>350</v>
      </c>
      <c r="S1084" s="11" t="s">
        <v>5931</v>
      </c>
      <c r="T1084" s="6"/>
      <c r="U1084" s="28" t="str">
        <f>HYPERLINK("https://media.infra-m.ru/1870/1870172/cover/1870172.jpg", "Обложка")</f>
        <v>Обложка</v>
      </c>
      <c r="V1084" s="28" t="str">
        <f>HYPERLINK("https://znanium.ru/catalog/product/1870172", "Ознакомиться")</f>
        <v>Ознакомиться</v>
      </c>
      <c r="W1084" s="8" t="s">
        <v>1393</v>
      </c>
      <c r="X1084" s="6"/>
      <c r="Y1084" s="6"/>
      <c r="Z1084" s="6"/>
      <c r="AA1084" s="6" t="s">
        <v>417</v>
      </c>
    </row>
    <row r="1085" spans="1:27" s="4" customFormat="1" ht="51.95" customHeight="1">
      <c r="A1085" s="5">
        <v>0</v>
      </c>
      <c r="B1085" s="6" t="s">
        <v>5932</v>
      </c>
      <c r="C1085" s="13">
        <v>948</v>
      </c>
      <c r="D1085" s="8" t="s">
        <v>5933</v>
      </c>
      <c r="E1085" s="8" t="s">
        <v>5934</v>
      </c>
      <c r="F1085" s="8" t="s">
        <v>5935</v>
      </c>
      <c r="G1085" s="6" t="s">
        <v>51</v>
      </c>
      <c r="H1085" s="6" t="s">
        <v>84</v>
      </c>
      <c r="I1085" s="8" t="s">
        <v>85</v>
      </c>
      <c r="J1085" s="9">
        <v>1</v>
      </c>
      <c r="K1085" s="9">
        <v>176</v>
      </c>
      <c r="L1085" s="9">
        <v>2023</v>
      </c>
      <c r="M1085" s="8" t="s">
        <v>5936</v>
      </c>
      <c r="N1085" s="8" t="s">
        <v>40</v>
      </c>
      <c r="O1085" s="8" t="s">
        <v>41</v>
      </c>
      <c r="P1085" s="6" t="s">
        <v>299</v>
      </c>
      <c r="Q1085" s="8" t="s">
        <v>43</v>
      </c>
      <c r="R1085" s="10" t="s">
        <v>2333</v>
      </c>
      <c r="S1085" s="11"/>
      <c r="T1085" s="6"/>
      <c r="U1085" s="28" t="str">
        <f>HYPERLINK("https://media.infra-m.ru/1897/1897017/cover/1897017.jpg", "Обложка")</f>
        <v>Обложка</v>
      </c>
      <c r="V1085" s="28" t="str">
        <f>HYPERLINK("https://znanium.ru/catalog/product/1897017", "Ознакомиться")</f>
        <v>Ознакомиться</v>
      </c>
      <c r="W1085" s="8"/>
      <c r="X1085" s="6"/>
      <c r="Y1085" s="6"/>
      <c r="Z1085" s="6"/>
      <c r="AA1085" s="6" t="s">
        <v>62</v>
      </c>
    </row>
    <row r="1086" spans="1:27" s="4" customFormat="1" ht="42" customHeight="1">
      <c r="A1086" s="5">
        <v>0</v>
      </c>
      <c r="B1086" s="6" t="s">
        <v>5937</v>
      </c>
      <c r="C1086" s="7">
        <v>2868</v>
      </c>
      <c r="D1086" s="8" t="s">
        <v>5938</v>
      </c>
      <c r="E1086" s="8" t="s">
        <v>5939</v>
      </c>
      <c r="F1086" s="8" t="s">
        <v>249</v>
      </c>
      <c r="G1086" s="6" t="s">
        <v>58</v>
      </c>
      <c r="H1086" s="6" t="s">
        <v>84</v>
      </c>
      <c r="I1086" s="8" t="s">
        <v>250</v>
      </c>
      <c r="J1086" s="9">
        <v>1</v>
      </c>
      <c r="K1086" s="9">
        <v>568</v>
      </c>
      <c r="L1086" s="9">
        <v>2024</v>
      </c>
      <c r="M1086" s="8" t="s">
        <v>5940</v>
      </c>
      <c r="N1086" s="8" t="s">
        <v>40</v>
      </c>
      <c r="O1086" s="8" t="s">
        <v>41</v>
      </c>
      <c r="P1086" s="6" t="s">
        <v>42</v>
      </c>
      <c r="Q1086" s="8" t="s">
        <v>43</v>
      </c>
      <c r="R1086" s="10" t="s">
        <v>5941</v>
      </c>
      <c r="S1086" s="11"/>
      <c r="T1086" s="6" t="s">
        <v>378</v>
      </c>
      <c r="U1086" s="28" t="str">
        <f>HYPERLINK("https://media.infra-m.ru/2106/2106180/cover/2106180.jpg", "Обложка")</f>
        <v>Обложка</v>
      </c>
      <c r="V1086" s="28" t="str">
        <f>HYPERLINK("https://znanium.ru/catalog/product/2106180", "Ознакомиться")</f>
        <v>Ознакомиться</v>
      </c>
      <c r="W1086" s="8" t="s">
        <v>194</v>
      </c>
      <c r="X1086" s="6" t="s">
        <v>447</v>
      </c>
      <c r="Y1086" s="6"/>
      <c r="Z1086" s="6"/>
      <c r="AA1086" s="6" t="s">
        <v>100</v>
      </c>
    </row>
    <row r="1087" spans="1:27" s="4" customFormat="1" ht="44.1" customHeight="1">
      <c r="A1087" s="5">
        <v>0</v>
      </c>
      <c r="B1087" s="6" t="s">
        <v>5942</v>
      </c>
      <c r="C1087" s="7">
        <v>2032.8</v>
      </c>
      <c r="D1087" s="8" t="s">
        <v>5943</v>
      </c>
      <c r="E1087" s="8" t="s">
        <v>5944</v>
      </c>
      <c r="F1087" s="8" t="s">
        <v>5945</v>
      </c>
      <c r="G1087" s="6" t="s">
        <v>58</v>
      </c>
      <c r="H1087" s="6" t="s">
        <v>38</v>
      </c>
      <c r="I1087" s="8"/>
      <c r="J1087" s="9">
        <v>1</v>
      </c>
      <c r="K1087" s="9">
        <v>360</v>
      </c>
      <c r="L1087" s="9">
        <v>2024</v>
      </c>
      <c r="M1087" s="8" t="s">
        <v>5946</v>
      </c>
      <c r="N1087" s="8" t="s">
        <v>40</v>
      </c>
      <c r="O1087" s="8" t="s">
        <v>41</v>
      </c>
      <c r="P1087" s="6" t="s">
        <v>75</v>
      </c>
      <c r="Q1087" s="8" t="s">
        <v>76</v>
      </c>
      <c r="R1087" s="10" t="s">
        <v>5947</v>
      </c>
      <c r="S1087" s="11"/>
      <c r="T1087" s="6"/>
      <c r="U1087" s="28" t="str">
        <f>HYPERLINK("https://media.infra-m.ru/2123/2123351/cover/2123351.jpg", "Обложка")</f>
        <v>Обложка</v>
      </c>
      <c r="V1087" s="28" t="str">
        <f>HYPERLINK("https://znanium.ru/catalog/product/2123351", "Ознакомиться")</f>
        <v>Ознакомиться</v>
      </c>
      <c r="W1087" s="8" t="s">
        <v>114</v>
      </c>
      <c r="X1087" s="6"/>
      <c r="Y1087" s="6"/>
      <c r="Z1087" s="6"/>
      <c r="AA1087" s="6" t="s">
        <v>353</v>
      </c>
    </row>
    <row r="1088" spans="1:27" s="4" customFormat="1" ht="51.95" customHeight="1">
      <c r="A1088" s="5">
        <v>0</v>
      </c>
      <c r="B1088" s="6" t="s">
        <v>5948</v>
      </c>
      <c r="C1088" s="7">
        <v>1512</v>
      </c>
      <c r="D1088" s="8" t="s">
        <v>5949</v>
      </c>
      <c r="E1088" s="8" t="s">
        <v>5950</v>
      </c>
      <c r="F1088" s="8" t="s">
        <v>5951</v>
      </c>
      <c r="G1088" s="6" t="s">
        <v>37</v>
      </c>
      <c r="H1088" s="6" t="s">
        <v>84</v>
      </c>
      <c r="I1088" s="8" t="s">
        <v>1246</v>
      </c>
      <c r="J1088" s="9">
        <v>1</v>
      </c>
      <c r="K1088" s="9">
        <v>267</v>
      </c>
      <c r="L1088" s="9">
        <v>2024</v>
      </c>
      <c r="M1088" s="8" t="s">
        <v>5952</v>
      </c>
      <c r="N1088" s="8" t="s">
        <v>40</v>
      </c>
      <c r="O1088" s="8" t="s">
        <v>41</v>
      </c>
      <c r="P1088" s="6" t="s">
        <v>75</v>
      </c>
      <c r="Q1088" s="8" t="s">
        <v>515</v>
      </c>
      <c r="R1088" s="10" t="s">
        <v>5953</v>
      </c>
      <c r="S1088" s="11"/>
      <c r="T1088" s="6"/>
      <c r="U1088" s="28" t="str">
        <f>HYPERLINK("https://media.infra-m.ru/2146/2146550/cover/2146550.jpg", "Обложка")</f>
        <v>Обложка</v>
      </c>
      <c r="V1088" s="28" t="str">
        <f>HYPERLINK("https://znanium.ru/catalog/product/2146550", "Ознакомиться")</f>
        <v>Ознакомиться</v>
      </c>
      <c r="W1088" s="8" t="s">
        <v>344</v>
      </c>
      <c r="X1088" s="6"/>
      <c r="Y1088" s="6"/>
      <c r="Z1088" s="6"/>
      <c r="AA1088" s="6" t="s">
        <v>417</v>
      </c>
    </row>
    <row r="1089" spans="1:27" s="4" customFormat="1" ht="51.95" customHeight="1">
      <c r="A1089" s="5">
        <v>0</v>
      </c>
      <c r="B1089" s="6" t="s">
        <v>5954</v>
      </c>
      <c r="C1089" s="7">
        <v>1284</v>
      </c>
      <c r="D1089" s="8" t="s">
        <v>5955</v>
      </c>
      <c r="E1089" s="8" t="s">
        <v>5956</v>
      </c>
      <c r="F1089" s="8" t="s">
        <v>5957</v>
      </c>
      <c r="G1089" s="6" t="s">
        <v>51</v>
      </c>
      <c r="H1089" s="6" t="s">
        <v>84</v>
      </c>
      <c r="I1089" s="8" t="s">
        <v>250</v>
      </c>
      <c r="J1089" s="9">
        <v>1</v>
      </c>
      <c r="K1089" s="9">
        <v>238</v>
      </c>
      <c r="L1089" s="9">
        <v>2023</v>
      </c>
      <c r="M1089" s="8" t="s">
        <v>5958</v>
      </c>
      <c r="N1089" s="8" t="s">
        <v>40</v>
      </c>
      <c r="O1089" s="8" t="s">
        <v>41</v>
      </c>
      <c r="P1089" s="6" t="s">
        <v>42</v>
      </c>
      <c r="Q1089" s="8" t="s">
        <v>43</v>
      </c>
      <c r="R1089" s="10" t="s">
        <v>5959</v>
      </c>
      <c r="S1089" s="11"/>
      <c r="T1089" s="6"/>
      <c r="U1089" s="28" t="str">
        <f>HYPERLINK("https://media.infra-m.ru/1911/1911534/cover/1911534.jpg", "Обложка")</f>
        <v>Обложка</v>
      </c>
      <c r="V1089" s="28" t="str">
        <f>HYPERLINK("https://znanium.ru/catalog/product/1911534", "Ознакомиться")</f>
        <v>Ознакомиться</v>
      </c>
      <c r="W1089" s="8" t="s">
        <v>1052</v>
      </c>
      <c r="X1089" s="6"/>
      <c r="Y1089" s="6"/>
      <c r="Z1089" s="6"/>
      <c r="AA1089" s="6" t="s">
        <v>417</v>
      </c>
    </row>
    <row r="1090" spans="1:27" s="4" customFormat="1" ht="44.1" customHeight="1">
      <c r="A1090" s="5">
        <v>0</v>
      </c>
      <c r="B1090" s="6" t="s">
        <v>5960</v>
      </c>
      <c r="C1090" s="7">
        <v>1356</v>
      </c>
      <c r="D1090" s="8" t="s">
        <v>5961</v>
      </c>
      <c r="E1090" s="8" t="s">
        <v>5962</v>
      </c>
      <c r="F1090" s="8" t="s">
        <v>5904</v>
      </c>
      <c r="G1090" s="6" t="s">
        <v>37</v>
      </c>
      <c r="H1090" s="6" t="s">
        <v>84</v>
      </c>
      <c r="I1090" s="8" t="s">
        <v>85</v>
      </c>
      <c r="J1090" s="9">
        <v>1</v>
      </c>
      <c r="K1090" s="9">
        <v>320</v>
      </c>
      <c r="L1090" s="9">
        <v>2020</v>
      </c>
      <c r="M1090" s="8" t="s">
        <v>5963</v>
      </c>
      <c r="N1090" s="8" t="s">
        <v>40</v>
      </c>
      <c r="O1090" s="8" t="s">
        <v>41</v>
      </c>
      <c r="P1090" s="6" t="s">
        <v>42</v>
      </c>
      <c r="Q1090" s="8" t="s">
        <v>300</v>
      </c>
      <c r="R1090" s="10" t="s">
        <v>730</v>
      </c>
      <c r="S1090" s="11"/>
      <c r="T1090" s="6"/>
      <c r="U1090" s="28" t="str">
        <f>HYPERLINK("https://media.infra-m.ru/1068/1068913/cover/1068913.jpg", "Обложка")</f>
        <v>Обложка</v>
      </c>
      <c r="V1090" s="28" t="str">
        <f>HYPERLINK("https://znanium.ru/catalog/product/1068913", "Ознакомиться")</f>
        <v>Ознакомиться</v>
      </c>
      <c r="W1090" s="8" t="s">
        <v>45</v>
      </c>
      <c r="X1090" s="6"/>
      <c r="Y1090" s="6"/>
      <c r="Z1090" s="6"/>
      <c r="AA1090" s="6" t="s">
        <v>302</v>
      </c>
    </row>
    <row r="1091" spans="1:27" s="4" customFormat="1" ht="51.95" customHeight="1">
      <c r="A1091" s="5">
        <v>0</v>
      </c>
      <c r="B1091" s="6" t="s">
        <v>5964</v>
      </c>
      <c r="C1091" s="7">
        <v>1348.8</v>
      </c>
      <c r="D1091" s="8" t="s">
        <v>5965</v>
      </c>
      <c r="E1091" s="8" t="s">
        <v>5966</v>
      </c>
      <c r="F1091" s="8" t="s">
        <v>5967</v>
      </c>
      <c r="G1091" s="6" t="s">
        <v>58</v>
      </c>
      <c r="H1091" s="6" t="s">
        <v>38</v>
      </c>
      <c r="I1091" s="8"/>
      <c r="J1091" s="9">
        <v>1</v>
      </c>
      <c r="K1091" s="9">
        <v>240</v>
      </c>
      <c r="L1091" s="9">
        <v>2024</v>
      </c>
      <c r="M1091" s="8" t="s">
        <v>5968</v>
      </c>
      <c r="N1091" s="8" t="s">
        <v>40</v>
      </c>
      <c r="O1091" s="8" t="s">
        <v>41</v>
      </c>
      <c r="P1091" s="6" t="s">
        <v>75</v>
      </c>
      <c r="Q1091" s="8" t="s">
        <v>157</v>
      </c>
      <c r="R1091" s="10" t="s">
        <v>5969</v>
      </c>
      <c r="S1091" s="11"/>
      <c r="T1091" s="6"/>
      <c r="U1091" s="28" t="str">
        <f>HYPERLINK("https://media.infra-m.ru/2006/2006853/cover/2006853.jpg", "Обложка")</f>
        <v>Обложка</v>
      </c>
      <c r="V1091" s="28" t="str">
        <f>HYPERLINK("https://znanium.ru/catalog/product/915914", "Ознакомиться")</f>
        <v>Ознакомиться</v>
      </c>
      <c r="W1091" s="8" t="s">
        <v>114</v>
      </c>
      <c r="X1091" s="6"/>
      <c r="Y1091" s="6"/>
      <c r="Z1091" s="6"/>
      <c r="AA1091" s="6" t="s">
        <v>46</v>
      </c>
    </row>
    <row r="1092" spans="1:27" s="4" customFormat="1" ht="42" customHeight="1">
      <c r="A1092" s="5">
        <v>0</v>
      </c>
      <c r="B1092" s="6" t="s">
        <v>5970</v>
      </c>
      <c r="C1092" s="13">
        <v>743.9</v>
      </c>
      <c r="D1092" s="8" t="s">
        <v>5971</v>
      </c>
      <c r="E1092" s="8" t="s">
        <v>5972</v>
      </c>
      <c r="F1092" s="8" t="s">
        <v>5973</v>
      </c>
      <c r="G1092" s="6" t="s">
        <v>37</v>
      </c>
      <c r="H1092" s="6" t="s">
        <v>84</v>
      </c>
      <c r="I1092" s="8" t="s">
        <v>250</v>
      </c>
      <c r="J1092" s="9">
        <v>1</v>
      </c>
      <c r="K1092" s="9">
        <v>182</v>
      </c>
      <c r="L1092" s="9">
        <v>2019</v>
      </c>
      <c r="M1092" s="8" t="s">
        <v>5974</v>
      </c>
      <c r="N1092" s="8" t="s">
        <v>40</v>
      </c>
      <c r="O1092" s="8" t="s">
        <v>41</v>
      </c>
      <c r="P1092" s="6" t="s">
        <v>42</v>
      </c>
      <c r="Q1092" s="8" t="s">
        <v>43</v>
      </c>
      <c r="R1092" s="10" t="s">
        <v>806</v>
      </c>
      <c r="S1092" s="11"/>
      <c r="T1092" s="6"/>
      <c r="U1092" s="28" t="str">
        <f>HYPERLINK("https://media.infra-m.ru/1002/1002473/cover/1002473.jpg", "Обложка")</f>
        <v>Обложка</v>
      </c>
      <c r="V1092" s="28" t="str">
        <f>HYPERLINK("https://znanium.ru/catalog/product/1002473", "Ознакомиться")</f>
        <v>Ознакомиться</v>
      </c>
      <c r="W1092" s="8" t="s">
        <v>743</v>
      </c>
      <c r="X1092" s="6"/>
      <c r="Y1092" s="6"/>
      <c r="Z1092" s="6"/>
      <c r="AA1092" s="6" t="s">
        <v>88</v>
      </c>
    </row>
    <row r="1093" spans="1:27" s="4" customFormat="1" ht="51.95" customHeight="1">
      <c r="A1093" s="5">
        <v>0</v>
      </c>
      <c r="B1093" s="6" t="s">
        <v>5975</v>
      </c>
      <c r="C1093" s="7">
        <v>1200</v>
      </c>
      <c r="D1093" s="8" t="s">
        <v>5976</v>
      </c>
      <c r="E1093" s="8" t="s">
        <v>5977</v>
      </c>
      <c r="F1093" s="8" t="s">
        <v>5978</v>
      </c>
      <c r="G1093" s="6" t="s">
        <v>51</v>
      </c>
      <c r="H1093" s="6" t="s">
        <v>84</v>
      </c>
      <c r="I1093" s="8" t="s">
        <v>250</v>
      </c>
      <c r="J1093" s="9">
        <v>1</v>
      </c>
      <c r="K1093" s="9">
        <v>217</v>
      </c>
      <c r="L1093" s="9">
        <v>2024</v>
      </c>
      <c r="M1093" s="8" t="s">
        <v>5979</v>
      </c>
      <c r="N1093" s="8" t="s">
        <v>40</v>
      </c>
      <c r="O1093" s="8" t="s">
        <v>41</v>
      </c>
      <c r="P1093" s="6" t="s">
        <v>42</v>
      </c>
      <c r="Q1093" s="8" t="s">
        <v>43</v>
      </c>
      <c r="R1093" s="10" t="s">
        <v>5980</v>
      </c>
      <c r="S1093" s="11"/>
      <c r="T1093" s="6"/>
      <c r="U1093" s="28" t="str">
        <f>HYPERLINK("https://media.infra-m.ru/2132/2132476/cover/2132476.jpg", "Обложка")</f>
        <v>Обложка</v>
      </c>
      <c r="V1093" s="28" t="str">
        <f>HYPERLINK("https://znanium.ru/catalog/product/2132476", "Ознакомиться")</f>
        <v>Ознакомиться</v>
      </c>
      <c r="W1093" s="8" t="s">
        <v>1322</v>
      </c>
      <c r="X1093" s="6"/>
      <c r="Y1093" s="6"/>
      <c r="Z1093" s="6"/>
      <c r="AA1093" s="6" t="s">
        <v>62</v>
      </c>
    </row>
    <row r="1094" spans="1:27" s="4" customFormat="1" ht="42" customHeight="1">
      <c r="A1094" s="5">
        <v>0</v>
      </c>
      <c r="B1094" s="6" t="s">
        <v>5981</v>
      </c>
      <c r="C1094" s="7">
        <v>1276.8</v>
      </c>
      <c r="D1094" s="8" t="s">
        <v>5982</v>
      </c>
      <c r="E1094" s="8" t="s">
        <v>5983</v>
      </c>
      <c r="F1094" s="8" t="s">
        <v>5984</v>
      </c>
      <c r="G1094" s="6" t="s">
        <v>51</v>
      </c>
      <c r="H1094" s="6" t="s">
        <v>84</v>
      </c>
      <c r="I1094" s="8" t="s">
        <v>250</v>
      </c>
      <c r="J1094" s="9">
        <v>1</v>
      </c>
      <c r="K1094" s="9">
        <v>231</v>
      </c>
      <c r="L1094" s="9">
        <v>2024</v>
      </c>
      <c r="M1094" s="8" t="s">
        <v>5985</v>
      </c>
      <c r="N1094" s="8" t="s">
        <v>40</v>
      </c>
      <c r="O1094" s="8" t="s">
        <v>41</v>
      </c>
      <c r="P1094" s="6" t="s">
        <v>42</v>
      </c>
      <c r="Q1094" s="8" t="s">
        <v>43</v>
      </c>
      <c r="R1094" s="10" t="s">
        <v>314</v>
      </c>
      <c r="S1094" s="11"/>
      <c r="T1094" s="6"/>
      <c r="U1094" s="28" t="str">
        <f>HYPERLINK("https://media.infra-m.ru/2120/2120782/cover/2120782.jpg", "Обложка")</f>
        <v>Обложка</v>
      </c>
      <c r="V1094" s="28" t="str">
        <f>HYPERLINK("https://znanium.ru/catalog/product/1065190", "Ознакомиться")</f>
        <v>Ознакомиться</v>
      </c>
      <c r="W1094" s="8" t="s">
        <v>5986</v>
      </c>
      <c r="X1094" s="6"/>
      <c r="Y1094" s="6"/>
      <c r="Z1094" s="6"/>
      <c r="AA1094" s="6" t="s">
        <v>431</v>
      </c>
    </row>
    <row r="1095" spans="1:27" s="4" customFormat="1" ht="42" customHeight="1">
      <c r="A1095" s="5">
        <v>0</v>
      </c>
      <c r="B1095" s="6" t="s">
        <v>5987</v>
      </c>
      <c r="C1095" s="7">
        <v>1505.9</v>
      </c>
      <c r="D1095" s="8" t="s">
        <v>5988</v>
      </c>
      <c r="E1095" s="8" t="s">
        <v>5989</v>
      </c>
      <c r="F1095" s="8" t="s">
        <v>283</v>
      </c>
      <c r="G1095" s="6" t="s">
        <v>58</v>
      </c>
      <c r="H1095" s="6" t="s">
        <v>38</v>
      </c>
      <c r="I1095" s="8"/>
      <c r="J1095" s="9">
        <v>1</v>
      </c>
      <c r="K1095" s="9">
        <v>368</v>
      </c>
      <c r="L1095" s="9">
        <v>2019</v>
      </c>
      <c r="M1095" s="8" t="s">
        <v>5990</v>
      </c>
      <c r="N1095" s="8" t="s">
        <v>40</v>
      </c>
      <c r="O1095" s="8" t="s">
        <v>41</v>
      </c>
      <c r="P1095" s="6" t="s">
        <v>299</v>
      </c>
      <c r="Q1095" s="8" t="s">
        <v>43</v>
      </c>
      <c r="R1095" s="10" t="s">
        <v>5991</v>
      </c>
      <c r="S1095" s="11"/>
      <c r="T1095" s="6"/>
      <c r="U1095" s="28" t="str">
        <f>HYPERLINK("https://media.infra-m.ru/1027/1027006/cover/1027006.jpg", "Обложка")</f>
        <v>Обложка</v>
      </c>
      <c r="V1095" s="28" t="str">
        <f>HYPERLINK("https://znanium.ru/catalog/product/1027006", "Ознакомиться")</f>
        <v>Ознакомиться</v>
      </c>
      <c r="W1095" s="8" t="s">
        <v>114</v>
      </c>
      <c r="X1095" s="6"/>
      <c r="Y1095" s="6"/>
      <c r="Z1095" s="6"/>
      <c r="AA1095" s="6" t="s">
        <v>302</v>
      </c>
    </row>
    <row r="1096" spans="1:27" s="4" customFormat="1" ht="51.95" customHeight="1">
      <c r="A1096" s="5">
        <v>0</v>
      </c>
      <c r="B1096" s="6" t="s">
        <v>5992</v>
      </c>
      <c r="C1096" s="7">
        <v>1096.8</v>
      </c>
      <c r="D1096" s="8" t="s">
        <v>5993</v>
      </c>
      <c r="E1096" s="8" t="s">
        <v>5994</v>
      </c>
      <c r="F1096" s="8" t="s">
        <v>5995</v>
      </c>
      <c r="G1096" s="6" t="s">
        <v>51</v>
      </c>
      <c r="H1096" s="6" t="s">
        <v>84</v>
      </c>
      <c r="I1096" s="8" t="s">
        <v>85</v>
      </c>
      <c r="J1096" s="9">
        <v>1</v>
      </c>
      <c r="K1096" s="9">
        <v>203</v>
      </c>
      <c r="L1096" s="9">
        <v>2023</v>
      </c>
      <c r="M1096" s="8" t="s">
        <v>5996</v>
      </c>
      <c r="N1096" s="8" t="s">
        <v>40</v>
      </c>
      <c r="O1096" s="8" t="s">
        <v>41</v>
      </c>
      <c r="P1096" s="6" t="s">
        <v>68</v>
      </c>
      <c r="Q1096" s="8" t="s">
        <v>43</v>
      </c>
      <c r="R1096" s="10" t="s">
        <v>5997</v>
      </c>
      <c r="S1096" s="11"/>
      <c r="T1096" s="6"/>
      <c r="U1096" s="28" t="str">
        <f>HYPERLINK("https://media.infra-m.ru/1324/1324020/cover/1324020.jpg", "Обложка")</f>
        <v>Обложка</v>
      </c>
      <c r="V1096" s="28" t="str">
        <f>HYPERLINK("https://znanium.ru/catalog/product/1228787", "Ознакомиться")</f>
        <v>Ознакомиться</v>
      </c>
      <c r="W1096" s="8" t="s">
        <v>45</v>
      </c>
      <c r="X1096" s="6"/>
      <c r="Y1096" s="6"/>
      <c r="Z1096" s="6"/>
      <c r="AA1096" s="6" t="s">
        <v>431</v>
      </c>
    </row>
    <row r="1097" spans="1:27" s="4" customFormat="1" ht="42" customHeight="1">
      <c r="A1097" s="5">
        <v>0</v>
      </c>
      <c r="B1097" s="6" t="s">
        <v>5998</v>
      </c>
      <c r="C1097" s="7">
        <v>1080</v>
      </c>
      <c r="D1097" s="8" t="s">
        <v>5999</v>
      </c>
      <c r="E1097" s="8" t="s">
        <v>6000</v>
      </c>
      <c r="F1097" s="8" t="s">
        <v>6001</v>
      </c>
      <c r="G1097" s="6" t="s">
        <v>37</v>
      </c>
      <c r="H1097" s="6" t="s">
        <v>38</v>
      </c>
      <c r="I1097" s="8"/>
      <c r="J1097" s="9">
        <v>1</v>
      </c>
      <c r="K1097" s="9">
        <v>200</v>
      </c>
      <c r="L1097" s="9">
        <v>2023</v>
      </c>
      <c r="M1097" s="8" t="s">
        <v>6002</v>
      </c>
      <c r="N1097" s="8" t="s">
        <v>40</v>
      </c>
      <c r="O1097" s="8" t="s">
        <v>41</v>
      </c>
      <c r="P1097" s="6" t="s">
        <v>42</v>
      </c>
      <c r="Q1097" s="8" t="s">
        <v>43</v>
      </c>
      <c r="R1097" s="10" t="s">
        <v>69</v>
      </c>
      <c r="S1097" s="11"/>
      <c r="T1097" s="6"/>
      <c r="U1097" s="28" t="str">
        <f>HYPERLINK("https://media.infra-m.ru/2034/2034560/cover/2034560.jpg", "Обложка")</f>
        <v>Обложка</v>
      </c>
      <c r="V1097" s="28" t="str">
        <f>HYPERLINK("https://znanium.ru/catalog/product/2034560", "Ознакомиться")</f>
        <v>Ознакомиться</v>
      </c>
      <c r="W1097" s="8" t="s">
        <v>45</v>
      </c>
      <c r="X1097" s="6"/>
      <c r="Y1097" s="6"/>
      <c r="Z1097" s="6"/>
      <c r="AA1097" s="6" t="s">
        <v>353</v>
      </c>
    </row>
    <row r="1098" spans="1:27" s="4" customFormat="1" ht="51.95" customHeight="1">
      <c r="A1098" s="5">
        <v>0</v>
      </c>
      <c r="B1098" s="6" t="s">
        <v>6003</v>
      </c>
      <c r="C1098" s="7">
        <v>1296</v>
      </c>
      <c r="D1098" s="8" t="s">
        <v>6004</v>
      </c>
      <c r="E1098" s="8" t="s">
        <v>6005</v>
      </c>
      <c r="F1098" s="8" t="s">
        <v>6006</v>
      </c>
      <c r="G1098" s="6" t="s">
        <v>37</v>
      </c>
      <c r="H1098" s="6" t="s">
        <v>38</v>
      </c>
      <c r="I1098" s="8"/>
      <c r="J1098" s="9">
        <v>1</v>
      </c>
      <c r="K1098" s="9">
        <v>240</v>
      </c>
      <c r="L1098" s="9">
        <v>2023</v>
      </c>
      <c r="M1098" s="8" t="s">
        <v>6007</v>
      </c>
      <c r="N1098" s="8" t="s">
        <v>40</v>
      </c>
      <c r="O1098" s="8" t="s">
        <v>41</v>
      </c>
      <c r="P1098" s="6" t="s">
        <v>42</v>
      </c>
      <c r="Q1098" s="8" t="s">
        <v>43</v>
      </c>
      <c r="R1098" s="10" t="s">
        <v>6008</v>
      </c>
      <c r="S1098" s="11"/>
      <c r="T1098" s="6"/>
      <c r="U1098" s="28" t="str">
        <f>HYPERLINK("https://media.infra-m.ru/2041/2041655/cover/2041655.jpg", "Обложка")</f>
        <v>Обложка</v>
      </c>
      <c r="V1098" s="28" t="str">
        <f>HYPERLINK("https://znanium.ru/catalog/product/2041655", "Ознакомиться")</f>
        <v>Ознакомиться</v>
      </c>
      <c r="W1098" s="8" t="s">
        <v>114</v>
      </c>
      <c r="X1098" s="6"/>
      <c r="Y1098" s="6"/>
      <c r="Z1098" s="6"/>
      <c r="AA1098" s="6" t="s">
        <v>849</v>
      </c>
    </row>
    <row r="1099" spans="1:27" s="4" customFormat="1" ht="33" customHeight="1">
      <c r="A1099" s="5">
        <v>0</v>
      </c>
      <c r="B1099" s="6" t="s">
        <v>6009</v>
      </c>
      <c r="C1099" s="13">
        <v>225.6</v>
      </c>
      <c r="D1099" s="8" t="s">
        <v>6010</v>
      </c>
      <c r="E1099" s="8" t="s">
        <v>6011</v>
      </c>
      <c r="F1099" s="8"/>
      <c r="G1099" s="6" t="s">
        <v>51</v>
      </c>
      <c r="H1099" s="6" t="s">
        <v>52</v>
      </c>
      <c r="I1099" s="8" t="s">
        <v>225</v>
      </c>
      <c r="J1099" s="9">
        <v>1</v>
      </c>
      <c r="K1099" s="9">
        <v>64</v>
      </c>
      <c r="L1099" s="9">
        <v>2017</v>
      </c>
      <c r="M1099" s="8" t="s">
        <v>6012</v>
      </c>
      <c r="N1099" s="8" t="s">
        <v>40</v>
      </c>
      <c r="O1099" s="8" t="s">
        <v>41</v>
      </c>
      <c r="P1099" s="6" t="s">
        <v>227</v>
      </c>
      <c r="Q1099" s="8" t="s">
        <v>76</v>
      </c>
      <c r="R1099" s="10" t="s">
        <v>314</v>
      </c>
      <c r="S1099" s="11"/>
      <c r="T1099" s="6"/>
      <c r="U1099" s="12"/>
      <c r="V1099" s="12"/>
      <c r="W1099" s="8"/>
      <c r="X1099" s="6"/>
      <c r="Y1099" s="6"/>
      <c r="Z1099" s="6"/>
      <c r="AA1099" s="6" t="s">
        <v>2206</v>
      </c>
    </row>
    <row r="1100" spans="1:27" s="4" customFormat="1" ht="42" customHeight="1">
      <c r="A1100" s="5">
        <v>0</v>
      </c>
      <c r="B1100" s="6" t="s">
        <v>6013</v>
      </c>
      <c r="C1100" s="7">
        <v>2392.8000000000002</v>
      </c>
      <c r="D1100" s="8" t="s">
        <v>6014</v>
      </c>
      <c r="E1100" s="8" t="s">
        <v>6015</v>
      </c>
      <c r="F1100" s="8" t="s">
        <v>6016</v>
      </c>
      <c r="G1100" s="6" t="s">
        <v>58</v>
      </c>
      <c r="H1100" s="6" t="s">
        <v>410</v>
      </c>
      <c r="I1100" s="8" t="s">
        <v>2614</v>
      </c>
      <c r="J1100" s="9">
        <v>1</v>
      </c>
      <c r="K1100" s="9">
        <v>576</v>
      </c>
      <c r="L1100" s="9">
        <v>2024</v>
      </c>
      <c r="M1100" s="8" t="s">
        <v>6017</v>
      </c>
      <c r="N1100" s="8" t="s">
        <v>40</v>
      </c>
      <c r="O1100" s="8" t="s">
        <v>41</v>
      </c>
      <c r="P1100" s="6" t="s">
        <v>4419</v>
      </c>
      <c r="Q1100" s="8" t="s">
        <v>76</v>
      </c>
      <c r="R1100" s="10" t="s">
        <v>308</v>
      </c>
      <c r="S1100" s="11"/>
      <c r="T1100" s="6"/>
      <c r="U1100" s="28" t="str">
        <f>HYPERLINK("https://media.infra-m.ru/2141/2141647/cover/2141647.jpg", "Обложка")</f>
        <v>Обложка</v>
      </c>
      <c r="V1100" s="28" t="str">
        <f>HYPERLINK("https://znanium.ru/catalog/product/933863", "Ознакомиться")</f>
        <v>Ознакомиться</v>
      </c>
      <c r="W1100" s="8" t="s">
        <v>3198</v>
      </c>
      <c r="X1100" s="6"/>
      <c r="Y1100" s="6"/>
      <c r="Z1100" s="6"/>
      <c r="AA1100" s="6" t="s">
        <v>750</v>
      </c>
    </row>
    <row r="1101" spans="1:27" s="4" customFormat="1" ht="51.95" customHeight="1">
      <c r="A1101" s="5">
        <v>0</v>
      </c>
      <c r="B1101" s="6" t="s">
        <v>6018</v>
      </c>
      <c r="C1101" s="7">
        <v>3840</v>
      </c>
      <c r="D1101" s="8" t="s">
        <v>6019</v>
      </c>
      <c r="E1101" s="8" t="s">
        <v>6020</v>
      </c>
      <c r="F1101" s="8" t="s">
        <v>6021</v>
      </c>
      <c r="G1101" s="6" t="s">
        <v>58</v>
      </c>
      <c r="H1101" s="6" t="s">
        <v>410</v>
      </c>
      <c r="I1101" s="8"/>
      <c r="J1101" s="9">
        <v>1</v>
      </c>
      <c r="K1101" s="9">
        <v>784</v>
      </c>
      <c r="L1101" s="9">
        <v>2023</v>
      </c>
      <c r="M1101" s="8" t="s">
        <v>6022</v>
      </c>
      <c r="N1101" s="8" t="s">
        <v>40</v>
      </c>
      <c r="O1101" s="8" t="s">
        <v>41</v>
      </c>
      <c r="P1101" s="6" t="s">
        <v>95</v>
      </c>
      <c r="Q1101" s="8" t="s">
        <v>76</v>
      </c>
      <c r="R1101" s="10" t="s">
        <v>122</v>
      </c>
      <c r="S1101" s="11" t="s">
        <v>6023</v>
      </c>
      <c r="T1101" s="6"/>
      <c r="U1101" s="28" t="str">
        <f>HYPERLINK("https://media.infra-m.ru/1904/1904636/cover/1904636.jpg", "Обложка")</f>
        <v>Обложка</v>
      </c>
      <c r="V1101" s="28" t="str">
        <f>HYPERLINK("https://znanium.ru/catalog/product/1904636", "Ознакомиться")</f>
        <v>Ознакомиться</v>
      </c>
      <c r="W1101" s="8" t="s">
        <v>3198</v>
      </c>
      <c r="X1101" s="6"/>
      <c r="Y1101" s="6"/>
      <c r="Z1101" s="6"/>
      <c r="AA1101" s="6" t="s">
        <v>6024</v>
      </c>
    </row>
    <row r="1102" spans="1:27" s="4" customFormat="1" ht="51.95" customHeight="1">
      <c r="A1102" s="5">
        <v>0</v>
      </c>
      <c r="B1102" s="6" t="s">
        <v>6025</v>
      </c>
      <c r="C1102" s="7">
        <v>1284</v>
      </c>
      <c r="D1102" s="8" t="s">
        <v>6026</v>
      </c>
      <c r="E1102" s="8" t="s">
        <v>6027</v>
      </c>
      <c r="F1102" s="8" t="s">
        <v>1915</v>
      </c>
      <c r="G1102" s="6" t="s">
        <v>58</v>
      </c>
      <c r="H1102" s="6" t="s">
        <v>38</v>
      </c>
      <c r="I1102" s="8"/>
      <c r="J1102" s="9">
        <v>1</v>
      </c>
      <c r="K1102" s="9">
        <v>304</v>
      </c>
      <c r="L1102" s="9">
        <v>2020</v>
      </c>
      <c r="M1102" s="8" t="s">
        <v>6028</v>
      </c>
      <c r="N1102" s="8" t="s">
        <v>40</v>
      </c>
      <c r="O1102" s="8" t="s">
        <v>41</v>
      </c>
      <c r="P1102" s="6" t="s">
        <v>42</v>
      </c>
      <c r="Q1102" s="8" t="s">
        <v>43</v>
      </c>
      <c r="R1102" s="10" t="s">
        <v>6029</v>
      </c>
      <c r="S1102" s="11"/>
      <c r="T1102" s="6"/>
      <c r="U1102" s="28" t="str">
        <f>HYPERLINK("https://media.infra-m.ru/1079/1079226/cover/1079226.jpg", "Обложка")</f>
        <v>Обложка</v>
      </c>
      <c r="V1102" s="28" t="str">
        <f>HYPERLINK("https://znanium.ru/catalog/product/1079226", "Ознакомиться")</f>
        <v>Ознакомиться</v>
      </c>
      <c r="W1102" s="8" t="s">
        <v>45</v>
      </c>
      <c r="X1102" s="6"/>
      <c r="Y1102" s="6"/>
      <c r="Z1102" s="6"/>
      <c r="AA1102" s="6" t="s">
        <v>46</v>
      </c>
    </row>
    <row r="1103" spans="1:27" s="4" customFormat="1" ht="51.95" customHeight="1">
      <c r="A1103" s="5">
        <v>0</v>
      </c>
      <c r="B1103" s="6" t="s">
        <v>6030</v>
      </c>
      <c r="C1103" s="7">
        <v>1380</v>
      </c>
      <c r="D1103" s="8" t="s">
        <v>6031</v>
      </c>
      <c r="E1103" s="8" t="s">
        <v>6032</v>
      </c>
      <c r="F1103" s="8" t="s">
        <v>912</v>
      </c>
      <c r="G1103" s="6" t="s">
        <v>58</v>
      </c>
      <c r="H1103" s="6" t="s">
        <v>84</v>
      </c>
      <c r="I1103" s="8" t="s">
        <v>250</v>
      </c>
      <c r="J1103" s="9">
        <v>1</v>
      </c>
      <c r="K1103" s="9">
        <v>302</v>
      </c>
      <c r="L1103" s="9">
        <v>2023</v>
      </c>
      <c r="M1103" s="8" t="s">
        <v>6033</v>
      </c>
      <c r="N1103" s="8" t="s">
        <v>40</v>
      </c>
      <c r="O1103" s="8" t="s">
        <v>41</v>
      </c>
      <c r="P1103" s="6" t="s">
        <v>42</v>
      </c>
      <c r="Q1103" s="8" t="s">
        <v>43</v>
      </c>
      <c r="R1103" s="10" t="s">
        <v>6034</v>
      </c>
      <c r="S1103" s="11"/>
      <c r="T1103" s="6"/>
      <c r="U1103" s="28" t="str">
        <f>HYPERLINK("https://media.infra-m.ru/1858/1858242/cover/1858242.jpg", "Обложка")</f>
        <v>Обложка</v>
      </c>
      <c r="V1103" s="28" t="str">
        <f>HYPERLINK("https://znanium.ru/catalog/product/1014568", "Ознакомиться")</f>
        <v>Ознакомиться</v>
      </c>
      <c r="W1103" s="8" t="s">
        <v>536</v>
      </c>
      <c r="X1103" s="6"/>
      <c r="Y1103" s="6"/>
      <c r="Z1103" s="6"/>
      <c r="AA1103" s="6" t="s">
        <v>769</v>
      </c>
    </row>
    <row r="1104" spans="1:27" s="4" customFormat="1" ht="51.95" customHeight="1">
      <c r="A1104" s="5">
        <v>0</v>
      </c>
      <c r="B1104" s="6" t="s">
        <v>6035</v>
      </c>
      <c r="C1104" s="7">
        <v>1073.9000000000001</v>
      </c>
      <c r="D1104" s="8" t="s">
        <v>6036</v>
      </c>
      <c r="E1104" s="8" t="s">
        <v>6037</v>
      </c>
      <c r="F1104" s="8" t="s">
        <v>912</v>
      </c>
      <c r="G1104" s="6" t="s">
        <v>58</v>
      </c>
      <c r="H1104" s="6" t="s">
        <v>84</v>
      </c>
      <c r="I1104" s="8" t="s">
        <v>250</v>
      </c>
      <c r="J1104" s="9">
        <v>1</v>
      </c>
      <c r="K1104" s="9">
        <v>287</v>
      </c>
      <c r="L1104" s="9">
        <v>2018</v>
      </c>
      <c r="M1104" s="8" t="s">
        <v>6038</v>
      </c>
      <c r="N1104" s="8" t="s">
        <v>40</v>
      </c>
      <c r="O1104" s="8" t="s">
        <v>41</v>
      </c>
      <c r="P1104" s="6" t="s">
        <v>42</v>
      </c>
      <c r="Q1104" s="8" t="s">
        <v>43</v>
      </c>
      <c r="R1104" s="10" t="s">
        <v>6034</v>
      </c>
      <c r="S1104" s="11"/>
      <c r="T1104" s="6"/>
      <c r="U1104" s="28" t="str">
        <f>HYPERLINK("https://media.infra-m.ru/0959/0959990/cover/959990.jpg", "Обложка")</f>
        <v>Обложка</v>
      </c>
      <c r="V1104" s="28" t="str">
        <f>HYPERLINK("https://znanium.ru/catalog/product/1014568", "Ознакомиться")</f>
        <v>Ознакомиться</v>
      </c>
      <c r="W1104" s="8" t="s">
        <v>536</v>
      </c>
      <c r="X1104" s="6"/>
      <c r="Y1104" s="6"/>
      <c r="Z1104" s="6"/>
      <c r="AA1104" s="6" t="s">
        <v>88</v>
      </c>
    </row>
    <row r="1105" spans="1:27" s="4" customFormat="1" ht="42" customHeight="1">
      <c r="A1105" s="5">
        <v>0</v>
      </c>
      <c r="B1105" s="6" t="s">
        <v>6039</v>
      </c>
      <c r="C1105" s="7">
        <v>1188</v>
      </c>
      <c r="D1105" s="8" t="s">
        <v>6040</v>
      </c>
      <c r="E1105" s="8" t="s">
        <v>6041</v>
      </c>
      <c r="F1105" s="8" t="s">
        <v>6042</v>
      </c>
      <c r="G1105" s="6" t="s">
        <v>58</v>
      </c>
      <c r="H1105" s="6" t="s">
        <v>84</v>
      </c>
      <c r="I1105" s="8"/>
      <c r="J1105" s="9">
        <v>1</v>
      </c>
      <c r="K1105" s="9">
        <v>200</v>
      </c>
      <c r="L1105" s="9">
        <v>2024</v>
      </c>
      <c r="M1105" s="8" t="s">
        <v>6043</v>
      </c>
      <c r="N1105" s="8" t="s">
        <v>40</v>
      </c>
      <c r="O1105" s="8" t="s">
        <v>41</v>
      </c>
      <c r="P1105" s="6" t="s">
        <v>841</v>
      </c>
      <c r="Q1105" s="8" t="s">
        <v>43</v>
      </c>
      <c r="R1105" s="10" t="s">
        <v>69</v>
      </c>
      <c r="S1105" s="11"/>
      <c r="T1105" s="6"/>
      <c r="U1105" s="28" t="str">
        <f>HYPERLINK("https://media.infra-m.ru/2134/2134597/cover/2134597.jpg", "Обложка")</f>
        <v>Обложка</v>
      </c>
      <c r="V1105" s="28" t="str">
        <f>HYPERLINK("https://znanium.ru/catalog/product/2134597", "Ознакомиться")</f>
        <v>Ознакомиться</v>
      </c>
      <c r="W1105" s="8" t="s">
        <v>45</v>
      </c>
      <c r="X1105" s="6" t="s">
        <v>2400</v>
      </c>
      <c r="Y1105" s="6"/>
      <c r="Z1105" s="6"/>
      <c r="AA1105" s="6" t="s">
        <v>100</v>
      </c>
    </row>
    <row r="1106" spans="1:27" s="4" customFormat="1" ht="42" customHeight="1">
      <c r="A1106" s="5">
        <v>0</v>
      </c>
      <c r="B1106" s="6" t="s">
        <v>6044</v>
      </c>
      <c r="C1106" s="7">
        <v>2393.9</v>
      </c>
      <c r="D1106" s="8" t="s">
        <v>6045</v>
      </c>
      <c r="E1106" s="8" t="s">
        <v>6046</v>
      </c>
      <c r="F1106" s="8" t="s">
        <v>6047</v>
      </c>
      <c r="G1106" s="6" t="s">
        <v>58</v>
      </c>
      <c r="H1106" s="6" t="s">
        <v>38</v>
      </c>
      <c r="I1106" s="8"/>
      <c r="J1106" s="9">
        <v>1</v>
      </c>
      <c r="K1106" s="9">
        <v>672</v>
      </c>
      <c r="L1106" s="9">
        <v>2021</v>
      </c>
      <c r="M1106" s="8" t="s">
        <v>6048</v>
      </c>
      <c r="N1106" s="8" t="s">
        <v>40</v>
      </c>
      <c r="O1106" s="8" t="s">
        <v>41</v>
      </c>
      <c r="P1106" s="6" t="s">
        <v>42</v>
      </c>
      <c r="Q1106" s="8" t="s">
        <v>43</v>
      </c>
      <c r="R1106" s="10" t="s">
        <v>308</v>
      </c>
      <c r="S1106" s="11"/>
      <c r="T1106" s="6"/>
      <c r="U1106" s="28" t="str">
        <f>HYPERLINK("https://media.infra-m.ru/1240/1240964/cover/1240964.jpg", "Обложка")</f>
        <v>Обложка</v>
      </c>
      <c r="V1106" s="28" t="str">
        <f>HYPERLINK("https://znanium.ru/catalog/product/1240964", "Ознакомиться")</f>
        <v>Ознакомиться</v>
      </c>
      <c r="W1106" s="8" t="s">
        <v>114</v>
      </c>
      <c r="X1106" s="6"/>
      <c r="Y1106" s="6"/>
      <c r="Z1106" s="6"/>
      <c r="AA1106" s="6" t="s">
        <v>5686</v>
      </c>
    </row>
    <row r="1107" spans="1:27" s="4" customFormat="1" ht="44.1" customHeight="1">
      <c r="A1107" s="5">
        <v>0</v>
      </c>
      <c r="B1107" s="6" t="s">
        <v>6049</v>
      </c>
      <c r="C1107" s="7">
        <v>1464</v>
      </c>
      <c r="D1107" s="8" t="s">
        <v>6050</v>
      </c>
      <c r="E1107" s="8" t="s">
        <v>6051</v>
      </c>
      <c r="F1107" s="8" t="s">
        <v>6052</v>
      </c>
      <c r="G1107" s="6" t="s">
        <v>51</v>
      </c>
      <c r="H1107" s="6" t="s">
        <v>38</v>
      </c>
      <c r="I1107" s="8"/>
      <c r="J1107" s="9">
        <v>1</v>
      </c>
      <c r="K1107" s="9">
        <v>272</v>
      </c>
      <c r="L1107" s="9">
        <v>2023</v>
      </c>
      <c r="M1107" s="8" t="s">
        <v>6053</v>
      </c>
      <c r="N1107" s="8" t="s">
        <v>40</v>
      </c>
      <c r="O1107" s="8" t="s">
        <v>41</v>
      </c>
      <c r="P1107" s="6" t="s">
        <v>42</v>
      </c>
      <c r="Q1107" s="8" t="s">
        <v>300</v>
      </c>
      <c r="R1107" s="10" t="s">
        <v>6054</v>
      </c>
      <c r="S1107" s="11"/>
      <c r="T1107" s="6"/>
      <c r="U1107" s="28" t="str">
        <f>HYPERLINK("https://media.infra-m.ru/2018/2018255/cover/2018255.jpg", "Обложка")</f>
        <v>Обложка</v>
      </c>
      <c r="V1107" s="28" t="str">
        <f>HYPERLINK("https://znanium.ru/catalog/product/2018255", "Ознакомиться")</f>
        <v>Ознакомиться</v>
      </c>
      <c r="W1107" s="8" t="s">
        <v>3978</v>
      </c>
      <c r="X1107" s="6"/>
      <c r="Y1107" s="6"/>
      <c r="Z1107" s="6"/>
      <c r="AA1107" s="6" t="s">
        <v>302</v>
      </c>
    </row>
    <row r="1108" spans="1:27" s="4" customFormat="1" ht="51.95" customHeight="1">
      <c r="A1108" s="5">
        <v>0</v>
      </c>
      <c r="B1108" s="6" t="s">
        <v>6055</v>
      </c>
      <c r="C1108" s="7">
        <v>1312.8</v>
      </c>
      <c r="D1108" s="8" t="s">
        <v>6056</v>
      </c>
      <c r="E1108" s="8" t="s">
        <v>6057</v>
      </c>
      <c r="F1108" s="8" t="s">
        <v>6058</v>
      </c>
      <c r="G1108" s="6" t="s">
        <v>58</v>
      </c>
      <c r="H1108" s="6" t="s">
        <v>84</v>
      </c>
      <c r="I1108" s="8" t="s">
        <v>6059</v>
      </c>
      <c r="J1108" s="9">
        <v>1</v>
      </c>
      <c r="K1108" s="9">
        <v>320</v>
      </c>
      <c r="L1108" s="9">
        <v>2019</v>
      </c>
      <c r="M1108" s="8" t="s">
        <v>6060</v>
      </c>
      <c r="N1108" s="8" t="s">
        <v>40</v>
      </c>
      <c r="O1108" s="8" t="s">
        <v>41</v>
      </c>
      <c r="P1108" s="6" t="s">
        <v>42</v>
      </c>
      <c r="Q1108" s="8" t="s">
        <v>43</v>
      </c>
      <c r="R1108" s="10" t="s">
        <v>1829</v>
      </c>
      <c r="S1108" s="11"/>
      <c r="T1108" s="6"/>
      <c r="U1108" s="28" t="str">
        <f>HYPERLINK("https://media.infra-m.ru/2081/2081965/cover/2081965.jpg", "Обложка")</f>
        <v>Обложка</v>
      </c>
      <c r="V1108" s="28" t="str">
        <f>HYPERLINK("https://znanium.ru/catalog/product/1080543", "Ознакомиться")</f>
        <v>Ознакомиться</v>
      </c>
      <c r="W1108" s="8" t="s">
        <v>6061</v>
      </c>
      <c r="X1108" s="6"/>
      <c r="Y1108" s="6"/>
      <c r="Z1108" s="6"/>
      <c r="AA1108" s="6" t="s">
        <v>79</v>
      </c>
    </row>
    <row r="1109" spans="1:27" s="4" customFormat="1" ht="42" customHeight="1">
      <c r="A1109" s="5">
        <v>0</v>
      </c>
      <c r="B1109" s="6" t="s">
        <v>6062</v>
      </c>
      <c r="C1109" s="7">
        <v>1176</v>
      </c>
      <c r="D1109" s="8" t="s">
        <v>6063</v>
      </c>
      <c r="E1109" s="8" t="s">
        <v>6064</v>
      </c>
      <c r="F1109" s="8" t="s">
        <v>6065</v>
      </c>
      <c r="G1109" s="6" t="s">
        <v>51</v>
      </c>
      <c r="H1109" s="6" t="s">
        <v>38</v>
      </c>
      <c r="I1109" s="8"/>
      <c r="J1109" s="9">
        <v>1</v>
      </c>
      <c r="K1109" s="9">
        <v>192</v>
      </c>
      <c r="L1109" s="9">
        <v>2024</v>
      </c>
      <c r="M1109" s="8" t="s">
        <v>6066</v>
      </c>
      <c r="N1109" s="8" t="s">
        <v>40</v>
      </c>
      <c r="O1109" s="8" t="s">
        <v>41</v>
      </c>
      <c r="P1109" s="6" t="s">
        <v>42</v>
      </c>
      <c r="Q1109" s="8" t="s">
        <v>43</v>
      </c>
      <c r="R1109" s="10" t="s">
        <v>113</v>
      </c>
      <c r="S1109" s="11"/>
      <c r="T1109" s="6"/>
      <c r="U1109" s="28" t="str">
        <f>HYPERLINK("https://media.infra-m.ru/2132/2132485/cover/2132485.jpg", "Обложка")</f>
        <v>Обложка</v>
      </c>
      <c r="V1109" s="28" t="str">
        <f>HYPERLINK("https://znanium.ru/catalog/product/2132485", "Ознакомиться")</f>
        <v>Ознакомиться</v>
      </c>
      <c r="W1109" s="8" t="s">
        <v>3204</v>
      </c>
      <c r="X1109" s="6"/>
      <c r="Y1109" s="6"/>
      <c r="Z1109" s="6"/>
      <c r="AA1109" s="6" t="s">
        <v>88</v>
      </c>
    </row>
    <row r="1110" spans="1:27" s="4" customFormat="1" ht="42" customHeight="1">
      <c r="A1110" s="5">
        <v>0</v>
      </c>
      <c r="B1110" s="6" t="s">
        <v>6067</v>
      </c>
      <c r="C1110" s="13">
        <v>600</v>
      </c>
      <c r="D1110" s="8" t="s">
        <v>6068</v>
      </c>
      <c r="E1110" s="8" t="s">
        <v>6069</v>
      </c>
      <c r="F1110" s="8" t="s">
        <v>6070</v>
      </c>
      <c r="G1110" s="6" t="s">
        <v>51</v>
      </c>
      <c r="H1110" s="6" t="s">
        <v>84</v>
      </c>
      <c r="I1110" s="8" t="s">
        <v>250</v>
      </c>
      <c r="J1110" s="9">
        <v>1</v>
      </c>
      <c r="K1110" s="9">
        <v>109</v>
      </c>
      <c r="L1110" s="9">
        <v>2023</v>
      </c>
      <c r="M1110" s="8" t="s">
        <v>6071</v>
      </c>
      <c r="N1110" s="8" t="s">
        <v>40</v>
      </c>
      <c r="O1110" s="8" t="s">
        <v>41</v>
      </c>
      <c r="P1110" s="6" t="s">
        <v>42</v>
      </c>
      <c r="Q1110" s="8" t="s">
        <v>43</v>
      </c>
      <c r="R1110" s="10" t="s">
        <v>314</v>
      </c>
      <c r="S1110" s="11"/>
      <c r="T1110" s="6"/>
      <c r="U1110" s="28" t="str">
        <f>HYPERLINK("https://media.infra-m.ru/1911/1911509/cover/1911509.jpg", "Обложка")</f>
        <v>Обложка</v>
      </c>
      <c r="V1110" s="28" t="str">
        <f>HYPERLINK("https://znanium.ru/catalog/product/1911509", "Ознакомиться")</f>
        <v>Ознакомиться</v>
      </c>
      <c r="W1110" s="8" t="s">
        <v>6072</v>
      </c>
      <c r="X1110" s="6"/>
      <c r="Y1110" s="6"/>
      <c r="Z1110" s="6"/>
      <c r="AA1110" s="6" t="s">
        <v>431</v>
      </c>
    </row>
    <row r="1111" spans="1:27" s="4" customFormat="1" ht="42" customHeight="1">
      <c r="A1111" s="5">
        <v>0</v>
      </c>
      <c r="B1111" s="6" t="s">
        <v>6073</v>
      </c>
      <c r="C1111" s="7">
        <v>1212</v>
      </c>
      <c r="D1111" s="8" t="s">
        <v>6074</v>
      </c>
      <c r="E1111" s="8" t="s">
        <v>6075</v>
      </c>
      <c r="F1111" s="8" t="s">
        <v>6076</v>
      </c>
      <c r="G1111" s="6" t="s">
        <v>37</v>
      </c>
      <c r="H1111" s="6" t="s">
        <v>84</v>
      </c>
      <c r="I1111" s="8" t="s">
        <v>85</v>
      </c>
      <c r="J1111" s="9">
        <v>1</v>
      </c>
      <c r="K1111" s="9">
        <v>295</v>
      </c>
      <c r="L1111" s="9">
        <v>2019</v>
      </c>
      <c r="M1111" s="8" t="s">
        <v>6077</v>
      </c>
      <c r="N1111" s="8" t="s">
        <v>40</v>
      </c>
      <c r="O1111" s="8" t="s">
        <v>41</v>
      </c>
      <c r="P1111" s="6" t="s">
        <v>42</v>
      </c>
      <c r="Q1111" s="8" t="s">
        <v>43</v>
      </c>
      <c r="R1111" s="10" t="s">
        <v>314</v>
      </c>
      <c r="S1111" s="11"/>
      <c r="T1111" s="6"/>
      <c r="U1111" s="28" t="str">
        <f>HYPERLINK("https://media.infra-m.ru/1031/1031757/cover/1031757.jpg", "Обложка")</f>
        <v>Обложка</v>
      </c>
      <c r="V1111" s="28" t="str">
        <f>HYPERLINK("https://znanium.ru/catalog/product/1031757", "Ознакомиться")</f>
        <v>Ознакомиться</v>
      </c>
      <c r="W1111" s="8" t="s">
        <v>45</v>
      </c>
      <c r="X1111" s="6"/>
      <c r="Y1111" s="6"/>
      <c r="Z1111" s="6"/>
      <c r="AA1111" s="6" t="s">
        <v>431</v>
      </c>
    </row>
    <row r="1112" spans="1:27" s="4" customFormat="1" ht="44.1" customHeight="1">
      <c r="A1112" s="5">
        <v>0</v>
      </c>
      <c r="B1112" s="6" t="s">
        <v>6078</v>
      </c>
      <c r="C1112" s="13">
        <v>648</v>
      </c>
      <c r="D1112" s="8" t="s">
        <v>6079</v>
      </c>
      <c r="E1112" s="8" t="s">
        <v>6080</v>
      </c>
      <c r="F1112" s="8" t="s">
        <v>6081</v>
      </c>
      <c r="G1112" s="6" t="s">
        <v>58</v>
      </c>
      <c r="H1112" s="6" t="s">
        <v>38</v>
      </c>
      <c r="I1112" s="8"/>
      <c r="J1112" s="9">
        <v>1</v>
      </c>
      <c r="K1112" s="9">
        <v>144</v>
      </c>
      <c r="L1112" s="9">
        <v>2021</v>
      </c>
      <c r="M1112" s="8" t="s">
        <v>6082</v>
      </c>
      <c r="N1112" s="8" t="s">
        <v>40</v>
      </c>
      <c r="O1112" s="8" t="s">
        <v>41</v>
      </c>
      <c r="P1112" s="6" t="s">
        <v>42</v>
      </c>
      <c r="Q1112" s="8" t="s">
        <v>43</v>
      </c>
      <c r="R1112" s="10" t="s">
        <v>780</v>
      </c>
      <c r="S1112" s="11"/>
      <c r="T1112" s="6"/>
      <c r="U1112" s="28" t="str">
        <f>HYPERLINK("https://media.infra-m.ru/1138/1138763/cover/1138763.jpg", "Обложка")</f>
        <v>Обложка</v>
      </c>
      <c r="V1112" s="28" t="str">
        <f>HYPERLINK("https://znanium.ru/catalog/product/1138763", "Ознакомиться")</f>
        <v>Ознакомиться</v>
      </c>
      <c r="W1112" s="8" t="s">
        <v>114</v>
      </c>
      <c r="X1112" s="6"/>
      <c r="Y1112" s="6"/>
      <c r="Z1112" s="6"/>
      <c r="AA1112" s="6" t="s">
        <v>62</v>
      </c>
    </row>
    <row r="1113" spans="1:27" s="4" customFormat="1" ht="51.95" customHeight="1">
      <c r="A1113" s="5">
        <v>0</v>
      </c>
      <c r="B1113" s="6" t="s">
        <v>6083</v>
      </c>
      <c r="C1113" s="7">
        <v>2988</v>
      </c>
      <c r="D1113" s="8" t="s">
        <v>6084</v>
      </c>
      <c r="E1113" s="8" t="s">
        <v>6085</v>
      </c>
      <c r="F1113" s="8" t="s">
        <v>6086</v>
      </c>
      <c r="G1113" s="6" t="s">
        <v>58</v>
      </c>
      <c r="H1113" s="6" t="s">
        <v>38</v>
      </c>
      <c r="I1113" s="8"/>
      <c r="J1113" s="9">
        <v>1</v>
      </c>
      <c r="K1113" s="9">
        <v>576</v>
      </c>
      <c r="L1113" s="9">
        <v>2024</v>
      </c>
      <c r="M1113" s="8" t="s">
        <v>6087</v>
      </c>
      <c r="N1113" s="8" t="s">
        <v>40</v>
      </c>
      <c r="O1113" s="8" t="s">
        <v>41</v>
      </c>
      <c r="P1113" s="6" t="s">
        <v>42</v>
      </c>
      <c r="Q1113" s="8" t="s">
        <v>871</v>
      </c>
      <c r="R1113" s="10" t="s">
        <v>6088</v>
      </c>
      <c r="S1113" s="11"/>
      <c r="T1113" s="6"/>
      <c r="U1113" s="28" t="str">
        <f>HYPERLINK("https://media.infra-m.ru/2090/2090010/cover/2090010.jpg", "Обложка")</f>
        <v>Обложка</v>
      </c>
      <c r="V1113" s="28" t="str">
        <f>HYPERLINK("https://znanium.ru/catalog/product/2090010", "Ознакомиться")</f>
        <v>Ознакомиться</v>
      </c>
      <c r="W1113" s="8" t="s">
        <v>1724</v>
      </c>
      <c r="X1113" s="6" t="s">
        <v>391</v>
      </c>
      <c r="Y1113" s="6"/>
      <c r="Z1113" s="6"/>
      <c r="AA1113" s="6" t="s">
        <v>100</v>
      </c>
    </row>
    <row r="1114" spans="1:27" s="4" customFormat="1" ht="51.95" customHeight="1">
      <c r="A1114" s="5">
        <v>0</v>
      </c>
      <c r="B1114" s="6" t="s">
        <v>6089</v>
      </c>
      <c r="C1114" s="7">
        <v>3626.4</v>
      </c>
      <c r="D1114" s="8" t="s">
        <v>6090</v>
      </c>
      <c r="E1114" s="8" t="s">
        <v>6091</v>
      </c>
      <c r="F1114" s="8" t="s">
        <v>6092</v>
      </c>
      <c r="G1114" s="6" t="s">
        <v>58</v>
      </c>
      <c r="H1114" s="6" t="s">
        <v>38</v>
      </c>
      <c r="I1114" s="8"/>
      <c r="J1114" s="9">
        <v>1</v>
      </c>
      <c r="K1114" s="9">
        <v>656</v>
      </c>
      <c r="L1114" s="9">
        <v>2024</v>
      </c>
      <c r="M1114" s="8" t="s">
        <v>6093</v>
      </c>
      <c r="N1114" s="8" t="s">
        <v>40</v>
      </c>
      <c r="O1114" s="8" t="s">
        <v>41</v>
      </c>
      <c r="P1114" s="6" t="s">
        <v>4419</v>
      </c>
      <c r="Q1114" s="8" t="s">
        <v>76</v>
      </c>
      <c r="R1114" s="10" t="s">
        <v>6094</v>
      </c>
      <c r="S1114" s="11" t="s">
        <v>6095</v>
      </c>
      <c r="T1114" s="6"/>
      <c r="U1114" s="28" t="str">
        <f>HYPERLINK("https://media.infra-m.ru/2140/2140533/cover/2140533.jpg", "Обложка")</f>
        <v>Обложка</v>
      </c>
      <c r="V1114" s="28" t="str">
        <f>HYPERLINK("https://znanium.ru/catalog/product/2140533", "Ознакомиться")</f>
        <v>Ознакомиться</v>
      </c>
      <c r="W1114" s="8" t="s">
        <v>6096</v>
      </c>
      <c r="X1114" s="6"/>
      <c r="Y1114" s="6"/>
      <c r="Z1114" s="6"/>
      <c r="AA1114" s="6" t="s">
        <v>293</v>
      </c>
    </row>
    <row r="1115" spans="1:27" s="4" customFormat="1" ht="51.95" customHeight="1">
      <c r="A1115" s="5">
        <v>0</v>
      </c>
      <c r="B1115" s="6" t="s">
        <v>6097</v>
      </c>
      <c r="C1115" s="7">
        <v>2236.8000000000002</v>
      </c>
      <c r="D1115" s="8" t="s">
        <v>6098</v>
      </c>
      <c r="E1115" s="8" t="s">
        <v>6099</v>
      </c>
      <c r="F1115" s="8" t="s">
        <v>6100</v>
      </c>
      <c r="G1115" s="6" t="s">
        <v>51</v>
      </c>
      <c r="H1115" s="6" t="s">
        <v>52</v>
      </c>
      <c r="I1115" s="8" t="s">
        <v>250</v>
      </c>
      <c r="J1115" s="9">
        <v>1</v>
      </c>
      <c r="K1115" s="9">
        <v>397</v>
      </c>
      <c r="L1115" s="9">
        <v>2024</v>
      </c>
      <c r="M1115" s="8" t="s">
        <v>6101</v>
      </c>
      <c r="N1115" s="8" t="s">
        <v>40</v>
      </c>
      <c r="O1115" s="8" t="s">
        <v>41</v>
      </c>
      <c r="P1115" s="6" t="s">
        <v>75</v>
      </c>
      <c r="Q1115" s="8" t="s">
        <v>43</v>
      </c>
      <c r="R1115" s="10" t="s">
        <v>308</v>
      </c>
      <c r="S1115" s="11"/>
      <c r="T1115" s="6"/>
      <c r="U1115" s="28" t="str">
        <f>HYPERLINK("https://media.infra-m.ru/2102/2102168/cover/2102168.jpg", "Обложка")</f>
        <v>Обложка</v>
      </c>
      <c r="V1115" s="12"/>
      <c r="W1115" s="8"/>
      <c r="X1115" s="6"/>
      <c r="Y1115" s="6"/>
      <c r="Z1115" s="6"/>
      <c r="AA1115" s="6" t="s">
        <v>293</v>
      </c>
    </row>
    <row r="1116" spans="1:27" s="4" customFormat="1" ht="51.95" customHeight="1">
      <c r="A1116" s="5">
        <v>0</v>
      </c>
      <c r="B1116" s="6" t="s">
        <v>6102</v>
      </c>
      <c r="C1116" s="7">
        <v>2248.8000000000002</v>
      </c>
      <c r="D1116" s="8" t="s">
        <v>6103</v>
      </c>
      <c r="E1116" s="8" t="s">
        <v>6104</v>
      </c>
      <c r="F1116" s="8" t="s">
        <v>6105</v>
      </c>
      <c r="G1116" s="6" t="s">
        <v>58</v>
      </c>
      <c r="H1116" s="6" t="s">
        <v>38</v>
      </c>
      <c r="I1116" s="8"/>
      <c r="J1116" s="9">
        <v>1</v>
      </c>
      <c r="K1116" s="9">
        <v>448</v>
      </c>
      <c r="L1116" s="9">
        <v>2024</v>
      </c>
      <c r="M1116" s="8" t="s">
        <v>6106</v>
      </c>
      <c r="N1116" s="8" t="s">
        <v>40</v>
      </c>
      <c r="O1116" s="8" t="s">
        <v>41</v>
      </c>
      <c r="P1116" s="6" t="s">
        <v>42</v>
      </c>
      <c r="Q1116" s="8" t="s">
        <v>43</v>
      </c>
      <c r="R1116" s="10" t="s">
        <v>6107</v>
      </c>
      <c r="S1116" s="11"/>
      <c r="T1116" s="6"/>
      <c r="U1116" s="28" t="str">
        <f>HYPERLINK("https://media.infra-m.ru/2053/2053185/cover/2053185.jpg", "Обложка")</f>
        <v>Обложка</v>
      </c>
      <c r="V1116" s="28" t="str">
        <f>HYPERLINK("https://znanium.ru/catalog/product/1859091", "Ознакомиться")</f>
        <v>Ознакомиться</v>
      </c>
      <c r="W1116" s="8" t="s">
        <v>124</v>
      </c>
      <c r="X1116" s="6"/>
      <c r="Y1116" s="6"/>
      <c r="Z1116" s="6"/>
      <c r="AA1116" s="6" t="s">
        <v>758</v>
      </c>
    </row>
    <row r="1117" spans="1:27" s="4" customFormat="1" ht="51.95" customHeight="1">
      <c r="A1117" s="5">
        <v>0</v>
      </c>
      <c r="B1117" s="6" t="s">
        <v>6108</v>
      </c>
      <c r="C1117" s="7">
        <v>1032</v>
      </c>
      <c r="D1117" s="8" t="s">
        <v>6109</v>
      </c>
      <c r="E1117" s="8" t="s">
        <v>6110</v>
      </c>
      <c r="F1117" s="8" t="s">
        <v>626</v>
      </c>
      <c r="G1117" s="6" t="s">
        <v>37</v>
      </c>
      <c r="H1117" s="6" t="s">
        <v>38</v>
      </c>
      <c r="I1117" s="8"/>
      <c r="J1117" s="9">
        <v>1</v>
      </c>
      <c r="K1117" s="9">
        <v>204</v>
      </c>
      <c r="L1117" s="9">
        <v>2022</v>
      </c>
      <c r="M1117" s="8" t="s">
        <v>6111</v>
      </c>
      <c r="N1117" s="8" t="s">
        <v>40</v>
      </c>
      <c r="O1117" s="8" t="s">
        <v>41</v>
      </c>
      <c r="P1117" s="6" t="s">
        <v>42</v>
      </c>
      <c r="Q1117" s="8" t="s">
        <v>300</v>
      </c>
      <c r="R1117" s="10" t="s">
        <v>2603</v>
      </c>
      <c r="S1117" s="11"/>
      <c r="T1117" s="6"/>
      <c r="U1117" s="28" t="str">
        <f>HYPERLINK("https://media.infra-m.ru/1877/1877359/cover/1877359.jpg", "Обложка")</f>
        <v>Обложка</v>
      </c>
      <c r="V1117" s="28" t="str">
        <f>HYPERLINK("https://znanium.ru/catalog/product/1877359", "Ознакомиться")</f>
        <v>Ознакомиться</v>
      </c>
      <c r="W1117" s="8" t="s">
        <v>114</v>
      </c>
      <c r="X1117" s="6"/>
      <c r="Y1117" s="6"/>
      <c r="Z1117" s="6"/>
      <c r="AA1117" s="6" t="s">
        <v>148</v>
      </c>
    </row>
    <row r="1118" spans="1:27" s="4" customFormat="1" ht="51.95" customHeight="1">
      <c r="A1118" s="5">
        <v>0</v>
      </c>
      <c r="B1118" s="6" t="s">
        <v>6112</v>
      </c>
      <c r="C1118" s="7">
        <v>1980</v>
      </c>
      <c r="D1118" s="8" t="s">
        <v>6113</v>
      </c>
      <c r="E1118" s="8" t="s">
        <v>6114</v>
      </c>
      <c r="F1118" s="8" t="s">
        <v>6115</v>
      </c>
      <c r="G1118" s="6" t="s">
        <v>37</v>
      </c>
      <c r="H1118" s="6" t="s">
        <v>84</v>
      </c>
      <c r="I1118" s="8" t="s">
        <v>250</v>
      </c>
      <c r="J1118" s="9">
        <v>1</v>
      </c>
      <c r="K1118" s="9">
        <v>484</v>
      </c>
      <c r="L1118" s="9">
        <v>2019</v>
      </c>
      <c r="M1118" s="8" t="s">
        <v>6116</v>
      </c>
      <c r="N1118" s="8" t="s">
        <v>40</v>
      </c>
      <c r="O1118" s="8" t="s">
        <v>41</v>
      </c>
      <c r="P1118" s="6" t="s">
        <v>299</v>
      </c>
      <c r="Q1118" s="8" t="s">
        <v>43</v>
      </c>
      <c r="R1118" s="10" t="s">
        <v>6117</v>
      </c>
      <c r="S1118" s="11"/>
      <c r="T1118" s="6"/>
      <c r="U1118" s="28" t="str">
        <f>HYPERLINK("https://media.infra-m.ru/0987/0987411/cover/987411.jpg", "Обложка")</f>
        <v>Обложка</v>
      </c>
      <c r="V1118" s="28" t="str">
        <f>HYPERLINK("https://znanium.ru/catalog/product/987411", "Ознакомиться")</f>
        <v>Ознакомиться</v>
      </c>
      <c r="W1118" s="8" t="s">
        <v>236</v>
      </c>
      <c r="X1118" s="6"/>
      <c r="Y1118" s="6"/>
      <c r="Z1118" s="6"/>
      <c r="AA1118" s="6" t="s">
        <v>148</v>
      </c>
    </row>
    <row r="1119" spans="1:27" s="4" customFormat="1" ht="51.95" customHeight="1">
      <c r="A1119" s="5">
        <v>0</v>
      </c>
      <c r="B1119" s="6" t="s">
        <v>6118</v>
      </c>
      <c r="C1119" s="7">
        <v>1152</v>
      </c>
      <c r="D1119" s="8" t="s">
        <v>6119</v>
      </c>
      <c r="E1119" s="8" t="s">
        <v>6120</v>
      </c>
      <c r="F1119" s="8" t="s">
        <v>6121</v>
      </c>
      <c r="G1119" s="6" t="s">
        <v>37</v>
      </c>
      <c r="H1119" s="6" t="s">
        <v>191</v>
      </c>
      <c r="I1119" s="8" t="s">
        <v>184</v>
      </c>
      <c r="J1119" s="9">
        <v>1</v>
      </c>
      <c r="K1119" s="9">
        <v>301</v>
      </c>
      <c r="L1119" s="9">
        <v>2019</v>
      </c>
      <c r="M1119" s="8" t="s">
        <v>6122</v>
      </c>
      <c r="N1119" s="8" t="s">
        <v>40</v>
      </c>
      <c r="O1119" s="8" t="s">
        <v>41</v>
      </c>
      <c r="P1119" s="6" t="s">
        <v>95</v>
      </c>
      <c r="Q1119" s="8" t="s">
        <v>76</v>
      </c>
      <c r="R1119" s="10" t="s">
        <v>3329</v>
      </c>
      <c r="S1119" s="11" t="s">
        <v>6123</v>
      </c>
      <c r="T1119" s="6"/>
      <c r="U1119" s="28" t="str">
        <f>HYPERLINK("https://media.infra-m.ru/0987/0987732/cover/987732.jpg", "Обложка")</f>
        <v>Обложка</v>
      </c>
      <c r="V1119" s="28" t="str">
        <f>HYPERLINK("https://znanium.ru/catalog/product/2061321", "Ознакомиться")</f>
        <v>Ознакомиться</v>
      </c>
      <c r="W1119" s="8" t="s">
        <v>1148</v>
      </c>
      <c r="X1119" s="6"/>
      <c r="Y1119" s="6"/>
      <c r="Z1119" s="6"/>
      <c r="AA1119" s="6" t="s">
        <v>337</v>
      </c>
    </row>
    <row r="1120" spans="1:27" s="4" customFormat="1" ht="51.95" customHeight="1">
      <c r="A1120" s="5">
        <v>0</v>
      </c>
      <c r="B1120" s="6" t="s">
        <v>6124</v>
      </c>
      <c r="C1120" s="7">
        <v>1625.9</v>
      </c>
      <c r="D1120" s="8" t="s">
        <v>6125</v>
      </c>
      <c r="E1120" s="8" t="s">
        <v>6120</v>
      </c>
      <c r="F1120" s="8" t="s">
        <v>6121</v>
      </c>
      <c r="G1120" s="6" t="s">
        <v>37</v>
      </c>
      <c r="H1120" s="6" t="s">
        <v>191</v>
      </c>
      <c r="I1120" s="8" t="s">
        <v>93</v>
      </c>
      <c r="J1120" s="9">
        <v>1</v>
      </c>
      <c r="K1120" s="9">
        <v>301</v>
      </c>
      <c r="L1120" s="9">
        <v>2023</v>
      </c>
      <c r="M1120" s="8" t="s">
        <v>6126</v>
      </c>
      <c r="N1120" s="8" t="s">
        <v>40</v>
      </c>
      <c r="O1120" s="8" t="s">
        <v>41</v>
      </c>
      <c r="P1120" s="6" t="s">
        <v>95</v>
      </c>
      <c r="Q1120" s="8" t="s">
        <v>96</v>
      </c>
      <c r="R1120" s="10" t="s">
        <v>97</v>
      </c>
      <c r="S1120" s="11" t="s">
        <v>6127</v>
      </c>
      <c r="T1120" s="6"/>
      <c r="U1120" s="28" t="str">
        <f>HYPERLINK("https://media.infra-m.ru/1893/1893948/cover/1893948.jpg", "Обложка")</f>
        <v>Обложка</v>
      </c>
      <c r="V1120" s="28" t="str">
        <f>HYPERLINK("https://znanium.ru/catalog/product/2107419", "Ознакомиться")</f>
        <v>Ознакомиться</v>
      </c>
      <c r="W1120" s="8" t="s">
        <v>1148</v>
      </c>
      <c r="X1120" s="6"/>
      <c r="Y1120" s="6"/>
      <c r="Z1120" s="6" t="s">
        <v>136</v>
      </c>
      <c r="AA1120" s="6" t="s">
        <v>171</v>
      </c>
    </row>
    <row r="1121" spans="1:27" s="4" customFormat="1" ht="51.95" customHeight="1">
      <c r="A1121" s="5">
        <v>0</v>
      </c>
      <c r="B1121" s="6" t="s">
        <v>6128</v>
      </c>
      <c r="C1121" s="7">
        <v>1668</v>
      </c>
      <c r="D1121" s="8" t="s">
        <v>6129</v>
      </c>
      <c r="E1121" s="8" t="s">
        <v>6130</v>
      </c>
      <c r="F1121" s="8" t="s">
        <v>6121</v>
      </c>
      <c r="G1121" s="6" t="s">
        <v>37</v>
      </c>
      <c r="H1121" s="6" t="s">
        <v>84</v>
      </c>
      <c r="I1121" s="8" t="s">
        <v>93</v>
      </c>
      <c r="J1121" s="9">
        <v>1</v>
      </c>
      <c r="K1121" s="9">
        <v>291</v>
      </c>
      <c r="L1121" s="9">
        <v>2024</v>
      </c>
      <c r="M1121" s="8" t="s">
        <v>6131</v>
      </c>
      <c r="N1121" s="8" t="s">
        <v>40</v>
      </c>
      <c r="O1121" s="8" t="s">
        <v>41</v>
      </c>
      <c r="P1121" s="6" t="s">
        <v>95</v>
      </c>
      <c r="Q1121" s="8" t="s">
        <v>96</v>
      </c>
      <c r="R1121" s="10" t="s">
        <v>97</v>
      </c>
      <c r="S1121" s="11" t="s">
        <v>6127</v>
      </c>
      <c r="T1121" s="6"/>
      <c r="U1121" s="28" t="str">
        <f>HYPERLINK("https://media.infra-m.ru/2107/2107419/cover/2107419.jpg", "Обложка")</f>
        <v>Обложка</v>
      </c>
      <c r="V1121" s="28" t="str">
        <f>HYPERLINK("https://znanium.ru/catalog/product/2107419", "Ознакомиться")</f>
        <v>Ознакомиться</v>
      </c>
      <c r="W1121" s="8" t="s">
        <v>1148</v>
      </c>
      <c r="X1121" s="6" t="s">
        <v>391</v>
      </c>
      <c r="Y1121" s="6"/>
      <c r="Z1121" s="6" t="s">
        <v>136</v>
      </c>
      <c r="AA1121" s="6" t="s">
        <v>2894</v>
      </c>
    </row>
    <row r="1122" spans="1:27" s="4" customFormat="1" ht="51.95" customHeight="1">
      <c r="A1122" s="5">
        <v>0</v>
      </c>
      <c r="B1122" s="6" t="s">
        <v>6132</v>
      </c>
      <c r="C1122" s="7">
        <v>1644</v>
      </c>
      <c r="D1122" s="8" t="s">
        <v>6133</v>
      </c>
      <c r="E1122" s="8" t="s">
        <v>6130</v>
      </c>
      <c r="F1122" s="8" t="s">
        <v>6134</v>
      </c>
      <c r="G1122" s="6" t="s">
        <v>37</v>
      </c>
      <c r="H1122" s="6" t="s">
        <v>84</v>
      </c>
      <c r="I1122" s="8" t="s">
        <v>120</v>
      </c>
      <c r="J1122" s="9">
        <v>1</v>
      </c>
      <c r="K1122" s="9">
        <v>291</v>
      </c>
      <c r="L1122" s="9">
        <v>2024</v>
      </c>
      <c r="M1122" s="8" t="s">
        <v>6135</v>
      </c>
      <c r="N1122" s="8" t="s">
        <v>40</v>
      </c>
      <c r="O1122" s="8" t="s">
        <v>41</v>
      </c>
      <c r="P1122" s="6" t="s">
        <v>95</v>
      </c>
      <c r="Q1122" s="8" t="s">
        <v>76</v>
      </c>
      <c r="R1122" s="10" t="s">
        <v>3329</v>
      </c>
      <c r="S1122" s="11" t="s">
        <v>6136</v>
      </c>
      <c r="T1122" s="6"/>
      <c r="U1122" s="28" t="str">
        <f>HYPERLINK("https://media.infra-m.ru/2061/2061321/cover/2061321.jpg", "Обложка")</f>
        <v>Обложка</v>
      </c>
      <c r="V1122" s="28" t="str">
        <f>HYPERLINK("https://znanium.ru/catalog/product/2061321", "Ознакомиться")</f>
        <v>Ознакомиться</v>
      </c>
      <c r="W1122" s="8" t="s">
        <v>1148</v>
      </c>
      <c r="X1122" s="6"/>
      <c r="Y1122" s="6"/>
      <c r="Z1122" s="6"/>
      <c r="AA1122" s="6" t="s">
        <v>2485</v>
      </c>
    </row>
    <row r="1123" spans="1:27" s="4" customFormat="1" ht="51.95" customHeight="1">
      <c r="A1123" s="5">
        <v>0</v>
      </c>
      <c r="B1123" s="6" t="s">
        <v>6137</v>
      </c>
      <c r="C1123" s="7">
        <v>2820</v>
      </c>
      <c r="D1123" s="8" t="s">
        <v>6138</v>
      </c>
      <c r="E1123" s="8" t="s">
        <v>6139</v>
      </c>
      <c r="F1123" s="8" t="s">
        <v>6140</v>
      </c>
      <c r="G1123" s="6" t="s">
        <v>58</v>
      </c>
      <c r="H1123" s="6" t="s">
        <v>84</v>
      </c>
      <c r="I1123" s="8" t="s">
        <v>120</v>
      </c>
      <c r="J1123" s="9">
        <v>1</v>
      </c>
      <c r="K1123" s="9">
        <v>501</v>
      </c>
      <c r="L1123" s="9">
        <v>2024</v>
      </c>
      <c r="M1123" s="8" t="s">
        <v>6141</v>
      </c>
      <c r="N1123" s="8" t="s">
        <v>40</v>
      </c>
      <c r="O1123" s="8" t="s">
        <v>41</v>
      </c>
      <c r="P1123" s="6" t="s">
        <v>95</v>
      </c>
      <c r="Q1123" s="8" t="s">
        <v>76</v>
      </c>
      <c r="R1123" s="10" t="s">
        <v>113</v>
      </c>
      <c r="S1123" s="11" t="s">
        <v>3984</v>
      </c>
      <c r="T1123" s="6"/>
      <c r="U1123" s="28" t="str">
        <f>HYPERLINK("https://media.infra-m.ru/2134/2134234/cover/2134234.jpg", "Обложка")</f>
        <v>Обложка</v>
      </c>
      <c r="V1123" s="28" t="str">
        <f>HYPERLINK("https://znanium.ru/catalog/product/2134234", "Ознакомиться")</f>
        <v>Ознакомиться</v>
      </c>
      <c r="W1123" s="8" t="s">
        <v>3581</v>
      </c>
      <c r="X1123" s="6"/>
      <c r="Y1123" s="6"/>
      <c r="Z1123" s="6"/>
      <c r="AA1123" s="6" t="s">
        <v>62</v>
      </c>
    </row>
    <row r="1124" spans="1:27" s="4" customFormat="1" ht="51.95" customHeight="1">
      <c r="A1124" s="5">
        <v>0</v>
      </c>
      <c r="B1124" s="6" t="s">
        <v>6142</v>
      </c>
      <c r="C1124" s="7">
        <v>2028</v>
      </c>
      <c r="D1124" s="8" t="s">
        <v>6143</v>
      </c>
      <c r="E1124" s="8" t="s">
        <v>6144</v>
      </c>
      <c r="F1124" s="8" t="s">
        <v>6145</v>
      </c>
      <c r="G1124" s="6" t="s">
        <v>37</v>
      </c>
      <c r="H1124" s="6" t="s">
        <v>38</v>
      </c>
      <c r="I1124" s="8"/>
      <c r="J1124" s="9">
        <v>1</v>
      </c>
      <c r="K1124" s="9">
        <v>368</v>
      </c>
      <c r="L1124" s="9">
        <v>2023</v>
      </c>
      <c r="M1124" s="8" t="s">
        <v>6146</v>
      </c>
      <c r="N1124" s="8" t="s">
        <v>40</v>
      </c>
      <c r="O1124" s="8" t="s">
        <v>41</v>
      </c>
      <c r="P1124" s="6" t="s">
        <v>95</v>
      </c>
      <c r="Q1124" s="8" t="s">
        <v>76</v>
      </c>
      <c r="R1124" s="10" t="s">
        <v>168</v>
      </c>
      <c r="S1124" s="11"/>
      <c r="T1124" s="6"/>
      <c r="U1124" s="28" t="str">
        <f>HYPERLINK("https://media.infra-m.ru/1959/1959267/cover/1959267.jpg", "Обложка")</f>
        <v>Обложка</v>
      </c>
      <c r="V1124" s="28" t="str">
        <f>HYPERLINK("https://znanium.ru/catalog/product/1959267", "Ознакомиться")</f>
        <v>Ознакомиться</v>
      </c>
      <c r="W1124" s="8" t="s">
        <v>114</v>
      </c>
      <c r="X1124" s="6"/>
      <c r="Y1124" s="6"/>
      <c r="Z1124" s="6"/>
      <c r="AA1124" s="6" t="s">
        <v>6147</v>
      </c>
    </row>
    <row r="1125" spans="1:27" s="4" customFormat="1" ht="51.95" customHeight="1">
      <c r="A1125" s="5">
        <v>0</v>
      </c>
      <c r="B1125" s="6" t="s">
        <v>6148</v>
      </c>
      <c r="C1125" s="13">
        <v>95.9</v>
      </c>
      <c r="D1125" s="8" t="s">
        <v>6149</v>
      </c>
      <c r="E1125" s="8" t="s">
        <v>6130</v>
      </c>
      <c r="F1125" s="8"/>
      <c r="G1125" s="6" t="s">
        <v>51</v>
      </c>
      <c r="H1125" s="6" t="s">
        <v>52</v>
      </c>
      <c r="I1125" s="8" t="s">
        <v>225</v>
      </c>
      <c r="J1125" s="9">
        <v>1</v>
      </c>
      <c r="K1125" s="9">
        <v>93</v>
      </c>
      <c r="L1125" s="9">
        <v>2017</v>
      </c>
      <c r="M1125" s="8" t="s">
        <v>6150</v>
      </c>
      <c r="N1125" s="8" t="s">
        <v>40</v>
      </c>
      <c r="O1125" s="8" t="s">
        <v>41</v>
      </c>
      <c r="P1125" s="6" t="s">
        <v>227</v>
      </c>
      <c r="Q1125" s="8" t="s">
        <v>76</v>
      </c>
      <c r="R1125" s="10" t="s">
        <v>6151</v>
      </c>
      <c r="S1125" s="11"/>
      <c r="T1125" s="6"/>
      <c r="U1125" s="28" t="str">
        <f>HYPERLINK("https://media.infra-m.ru/0765/0765584/cover/765584.jpg", "Обложка")</f>
        <v>Обложка</v>
      </c>
      <c r="V1125" s="28" t="str">
        <f>HYPERLINK("https://znanium.ru/catalog/product/765584", "Ознакомиться")</f>
        <v>Ознакомиться</v>
      </c>
      <c r="W1125" s="8"/>
      <c r="X1125" s="6"/>
      <c r="Y1125" s="6"/>
      <c r="Z1125" s="6"/>
      <c r="AA1125" s="6" t="s">
        <v>891</v>
      </c>
    </row>
    <row r="1126" spans="1:27" s="4" customFormat="1" ht="42" customHeight="1">
      <c r="A1126" s="5">
        <v>0</v>
      </c>
      <c r="B1126" s="6" t="s">
        <v>6152</v>
      </c>
      <c r="C1126" s="7">
        <v>1775.9</v>
      </c>
      <c r="D1126" s="8" t="s">
        <v>6153</v>
      </c>
      <c r="E1126" s="8" t="s">
        <v>6154</v>
      </c>
      <c r="F1126" s="8" t="s">
        <v>6155</v>
      </c>
      <c r="G1126" s="6" t="s">
        <v>58</v>
      </c>
      <c r="H1126" s="6" t="s">
        <v>38</v>
      </c>
      <c r="I1126" s="8"/>
      <c r="J1126" s="9">
        <v>1</v>
      </c>
      <c r="K1126" s="9">
        <v>328</v>
      </c>
      <c r="L1126" s="9">
        <v>2023</v>
      </c>
      <c r="M1126" s="8" t="s">
        <v>6156</v>
      </c>
      <c r="N1126" s="8" t="s">
        <v>40</v>
      </c>
      <c r="O1126" s="8" t="s">
        <v>41</v>
      </c>
      <c r="P1126" s="6" t="s">
        <v>42</v>
      </c>
      <c r="Q1126" s="8" t="s">
        <v>43</v>
      </c>
      <c r="R1126" s="10" t="s">
        <v>3405</v>
      </c>
      <c r="S1126" s="11"/>
      <c r="T1126" s="6"/>
      <c r="U1126" s="28" t="str">
        <f>HYPERLINK("https://media.infra-m.ru/1905/1905570/cover/1905570.jpg", "Обложка")</f>
        <v>Обложка</v>
      </c>
      <c r="V1126" s="28" t="str">
        <f>HYPERLINK("https://znanium.ru/catalog/product/1905570", "Ознакомиться")</f>
        <v>Ознакомиться</v>
      </c>
      <c r="W1126" s="8" t="s">
        <v>45</v>
      </c>
      <c r="X1126" s="6"/>
      <c r="Y1126" s="6"/>
      <c r="Z1126" s="6"/>
      <c r="AA1126" s="6" t="s">
        <v>417</v>
      </c>
    </row>
    <row r="1127" spans="1:27" s="4" customFormat="1" ht="42" customHeight="1">
      <c r="A1127" s="5">
        <v>0</v>
      </c>
      <c r="B1127" s="6" t="s">
        <v>6157</v>
      </c>
      <c r="C1127" s="13">
        <v>588</v>
      </c>
      <c r="D1127" s="8" t="s">
        <v>6158</v>
      </c>
      <c r="E1127" s="8" t="s">
        <v>6159</v>
      </c>
      <c r="F1127" s="8" t="s">
        <v>6160</v>
      </c>
      <c r="G1127" s="6" t="s">
        <v>51</v>
      </c>
      <c r="H1127" s="6" t="s">
        <v>38</v>
      </c>
      <c r="I1127" s="8"/>
      <c r="J1127" s="9">
        <v>1</v>
      </c>
      <c r="K1127" s="9">
        <v>96</v>
      </c>
      <c r="L1127" s="9">
        <v>2024</v>
      </c>
      <c r="M1127" s="8" t="s">
        <v>6161</v>
      </c>
      <c r="N1127" s="8" t="s">
        <v>40</v>
      </c>
      <c r="O1127" s="8" t="s">
        <v>41</v>
      </c>
      <c r="P1127" s="6" t="s">
        <v>42</v>
      </c>
      <c r="Q1127" s="8" t="s">
        <v>43</v>
      </c>
      <c r="R1127" s="10" t="s">
        <v>350</v>
      </c>
      <c r="S1127" s="11"/>
      <c r="T1127" s="6"/>
      <c r="U1127" s="28" t="str">
        <f>HYPERLINK("https://media.infra-m.ru/2104/2104820/cover/2104820.jpg", "Обложка")</f>
        <v>Обложка</v>
      </c>
      <c r="V1127" s="28" t="str">
        <f>HYPERLINK("https://znanium.ru/catalog/product/2104820", "Ознакомиться")</f>
        <v>Ознакомиться</v>
      </c>
      <c r="W1127" s="8" t="s">
        <v>78</v>
      </c>
      <c r="X1127" s="6"/>
      <c r="Y1127" s="6"/>
      <c r="Z1127" s="6"/>
      <c r="AA1127" s="6" t="s">
        <v>148</v>
      </c>
    </row>
    <row r="1128" spans="1:27" s="4" customFormat="1" ht="42" customHeight="1">
      <c r="A1128" s="5">
        <v>0</v>
      </c>
      <c r="B1128" s="6" t="s">
        <v>6162</v>
      </c>
      <c r="C1128" s="7">
        <v>1740</v>
      </c>
      <c r="D1128" s="8" t="s">
        <v>6163</v>
      </c>
      <c r="E1128" s="8" t="s">
        <v>6164</v>
      </c>
      <c r="F1128" s="8" t="s">
        <v>6165</v>
      </c>
      <c r="G1128" s="6" t="s">
        <v>37</v>
      </c>
      <c r="H1128" s="6" t="s">
        <v>38</v>
      </c>
      <c r="I1128" s="8"/>
      <c r="J1128" s="9">
        <v>1</v>
      </c>
      <c r="K1128" s="9">
        <v>256</v>
      </c>
      <c r="L1128" s="9">
        <v>2023</v>
      </c>
      <c r="M1128" s="8" t="s">
        <v>6166</v>
      </c>
      <c r="N1128" s="8" t="s">
        <v>40</v>
      </c>
      <c r="O1128" s="8" t="s">
        <v>41</v>
      </c>
      <c r="P1128" s="6" t="s">
        <v>42</v>
      </c>
      <c r="Q1128" s="8" t="s">
        <v>43</v>
      </c>
      <c r="R1128" s="10" t="s">
        <v>69</v>
      </c>
      <c r="S1128" s="11"/>
      <c r="T1128" s="6"/>
      <c r="U1128" s="28" t="str">
        <f>HYPERLINK("https://media.infra-m.ru/1896/1896819/cover/1896819.jpg", "Обложка")</f>
        <v>Обложка</v>
      </c>
      <c r="V1128" s="28" t="str">
        <f>HYPERLINK("https://znanium.ru/catalog/product/1896819", "Ознакомиться")</f>
        <v>Ознакомиться</v>
      </c>
      <c r="W1128" s="8"/>
      <c r="X1128" s="6"/>
      <c r="Y1128" s="6"/>
      <c r="Z1128" s="6"/>
      <c r="AA1128" s="6" t="s">
        <v>353</v>
      </c>
    </row>
    <row r="1129" spans="1:27" s="4" customFormat="1" ht="42" customHeight="1">
      <c r="A1129" s="5">
        <v>0</v>
      </c>
      <c r="B1129" s="6" t="s">
        <v>6167</v>
      </c>
      <c r="C1129" s="7">
        <v>1216.8</v>
      </c>
      <c r="D1129" s="8" t="s">
        <v>6168</v>
      </c>
      <c r="E1129" s="8" t="s">
        <v>6169</v>
      </c>
      <c r="F1129" s="8" t="s">
        <v>6170</v>
      </c>
      <c r="G1129" s="6" t="s">
        <v>37</v>
      </c>
      <c r="H1129" s="6" t="s">
        <v>38</v>
      </c>
      <c r="I1129" s="8"/>
      <c r="J1129" s="9">
        <v>1</v>
      </c>
      <c r="K1129" s="9">
        <v>216</v>
      </c>
      <c r="L1129" s="9">
        <v>2024</v>
      </c>
      <c r="M1129" s="8" t="s">
        <v>6171</v>
      </c>
      <c r="N1129" s="8" t="s">
        <v>40</v>
      </c>
      <c r="O1129" s="8" t="s">
        <v>41</v>
      </c>
      <c r="P1129" s="6" t="s">
        <v>42</v>
      </c>
      <c r="Q1129" s="8" t="s">
        <v>43</v>
      </c>
      <c r="R1129" s="10" t="s">
        <v>350</v>
      </c>
      <c r="S1129" s="11"/>
      <c r="T1129" s="6"/>
      <c r="U1129" s="28" t="str">
        <f>HYPERLINK("https://media.infra-m.ru/2121/2121168/cover/2121168.jpg", "Обложка")</f>
        <v>Обложка</v>
      </c>
      <c r="V1129" s="28" t="str">
        <f>HYPERLINK("https://znanium.ru/catalog/product/1864432", "Ознакомиться")</f>
        <v>Ознакомиться</v>
      </c>
      <c r="W1129" s="8" t="s">
        <v>124</v>
      </c>
      <c r="X1129" s="6"/>
      <c r="Y1129" s="6"/>
      <c r="Z1129" s="6"/>
      <c r="AA1129" s="6" t="s">
        <v>115</v>
      </c>
    </row>
    <row r="1130" spans="1:27" s="4" customFormat="1" ht="42" customHeight="1">
      <c r="A1130" s="5">
        <v>0</v>
      </c>
      <c r="B1130" s="6" t="s">
        <v>6172</v>
      </c>
      <c r="C1130" s="7">
        <v>1068</v>
      </c>
      <c r="D1130" s="8" t="s">
        <v>6173</v>
      </c>
      <c r="E1130" s="8" t="s">
        <v>6174</v>
      </c>
      <c r="F1130" s="8" t="s">
        <v>6175</v>
      </c>
      <c r="G1130" s="6" t="s">
        <v>51</v>
      </c>
      <c r="H1130" s="6" t="s">
        <v>84</v>
      </c>
      <c r="I1130" s="8" t="s">
        <v>250</v>
      </c>
      <c r="J1130" s="9">
        <v>1</v>
      </c>
      <c r="K1130" s="9">
        <v>228</v>
      </c>
      <c r="L1130" s="9">
        <v>2022</v>
      </c>
      <c r="M1130" s="8" t="s">
        <v>6176</v>
      </c>
      <c r="N1130" s="8" t="s">
        <v>40</v>
      </c>
      <c r="O1130" s="8" t="s">
        <v>41</v>
      </c>
      <c r="P1130" s="6" t="s">
        <v>42</v>
      </c>
      <c r="Q1130" s="8" t="s">
        <v>43</v>
      </c>
      <c r="R1130" s="10" t="s">
        <v>314</v>
      </c>
      <c r="S1130" s="11"/>
      <c r="T1130" s="6"/>
      <c r="U1130" s="28" t="str">
        <f>HYPERLINK("https://media.infra-m.ru/1850/1850675/cover/1850675.jpg", "Обложка")</f>
        <v>Обложка</v>
      </c>
      <c r="V1130" s="28" t="str">
        <f>HYPERLINK("https://znanium.ru/catalog/product/1850675", "Ознакомиться")</f>
        <v>Ознакомиться</v>
      </c>
      <c r="W1130" s="8" t="s">
        <v>124</v>
      </c>
      <c r="X1130" s="6"/>
      <c r="Y1130" s="6"/>
      <c r="Z1130" s="6"/>
      <c r="AA1130" s="6" t="s">
        <v>293</v>
      </c>
    </row>
    <row r="1131" spans="1:27" s="4" customFormat="1" ht="51.95" customHeight="1">
      <c r="A1131" s="5">
        <v>0</v>
      </c>
      <c r="B1131" s="6" t="s">
        <v>6177</v>
      </c>
      <c r="C1131" s="7">
        <v>1133.9000000000001</v>
      </c>
      <c r="D1131" s="8" t="s">
        <v>6178</v>
      </c>
      <c r="E1131" s="8" t="s">
        <v>6179</v>
      </c>
      <c r="F1131" s="8" t="s">
        <v>969</v>
      </c>
      <c r="G1131" s="6" t="s">
        <v>58</v>
      </c>
      <c r="H1131" s="6" t="s">
        <v>38</v>
      </c>
      <c r="I1131" s="8"/>
      <c r="J1131" s="9">
        <v>10</v>
      </c>
      <c r="K1131" s="9">
        <v>432</v>
      </c>
      <c r="L1131" s="9">
        <v>2017</v>
      </c>
      <c r="M1131" s="8" t="s">
        <v>6180</v>
      </c>
      <c r="N1131" s="8" t="s">
        <v>40</v>
      </c>
      <c r="O1131" s="8" t="s">
        <v>41</v>
      </c>
      <c r="P1131" s="6" t="s">
        <v>95</v>
      </c>
      <c r="Q1131" s="8" t="s">
        <v>76</v>
      </c>
      <c r="R1131" s="10" t="s">
        <v>6181</v>
      </c>
      <c r="S1131" s="11" t="s">
        <v>6182</v>
      </c>
      <c r="T1131" s="6"/>
      <c r="U1131" s="28" t="str">
        <f>HYPERLINK("https://media.infra-m.ru/0758/0758029/cover/758029.jpg", "Обложка")</f>
        <v>Обложка</v>
      </c>
      <c r="V1131" s="28" t="str">
        <f>HYPERLINK("https://znanium.ru/catalog/product/1986688", "Ознакомиться")</f>
        <v>Ознакомиться</v>
      </c>
      <c r="W1131" s="8" t="s">
        <v>78</v>
      </c>
      <c r="X1131" s="6"/>
      <c r="Y1131" s="6"/>
      <c r="Z1131" s="6"/>
      <c r="AA1131" s="6" t="s">
        <v>3163</v>
      </c>
    </row>
    <row r="1132" spans="1:27" s="4" customFormat="1" ht="42" customHeight="1">
      <c r="A1132" s="5">
        <v>0</v>
      </c>
      <c r="B1132" s="6" t="s">
        <v>6183</v>
      </c>
      <c r="C1132" s="7">
        <v>2321.9</v>
      </c>
      <c r="D1132" s="8" t="s">
        <v>6184</v>
      </c>
      <c r="E1132" s="8" t="s">
        <v>6185</v>
      </c>
      <c r="F1132" s="8" t="s">
        <v>6186</v>
      </c>
      <c r="G1132" s="6" t="s">
        <v>58</v>
      </c>
      <c r="H1132" s="6" t="s">
        <v>38</v>
      </c>
      <c r="I1132" s="8"/>
      <c r="J1132" s="9">
        <v>1</v>
      </c>
      <c r="K1132" s="9">
        <v>496</v>
      </c>
      <c r="L1132" s="9">
        <v>2024</v>
      </c>
      <c r="M1132" s="8" t="s">
        <v>6187</v>
      </c>
      <c r="N1132" s="8" t="s">
        <v>40</v>
      </c>
      <c r="O1132" s="8" t="s">
        <v>41</v>
      </c>
      <c r="P1132" s="6" t="s">
        <v>42</v>
      </c>
      <c r="Q1132" s="8" t="s">
        <v>43</v>
      </c>
      <c r="R1132" s="10" t="s">
        <v>314</v>
      </c>
      <c r="S1132" s="11"/>
      <c r="T1132" s="6"/>
      <c r="U1132" s="28" t="str">
        <f>HYPERLINK("https://media.infra-m.ru/1850/1850645/cover/1850645.jpg", "Обложка")</f>
        <v>Обложка</v>
      </c>
      <c r="V1132" s="28" t="str">
        <f>HYPERLINK("https://znanium.ru/catalog/product/1002086", "Ознакомиться")</f>
        <v>Ознакомиться</v>
      </c>
      <c r="W1132" s="8" t="s">
        <v>2784</v>
      </c>
      <c r="X1132" s="6"/>
      <c r="Y1132" s="6"/>
      <c r="Z1132" s="6"/>
      <c r="AA1132" s="6" t="s">
        <v>758</v>
      </c>
    </row>
    <row r="1133" spans="1:27" s="4" customFormat="1" ht="44.1" customHeight="1">
      <c r="A1133" s="5">
        <v>0</v>
      </c>
      <c r="B1133" s="6" t="s">
        <v>6188</v>
      </c>
      <c r="C1133" s="13">
        <v>804</v>
      </c>
      <c r="D1133" s="8" t="s">
        <v>6189</v>
      </c>
      <c r="E1133" s="8" t="s">
        <v>6190</v>
      </c>
      <c r="F1133" s="8" t="s">
        <v>6191</v>
      </c>
      <c r="G1133" s="6" t="s">
        <v>51</v>
      </c>
      <c r="H1133" s="6" t="s">
        <v>84</v>
      </c>
      <c r="I1133" s="8" t="s">
        <v>250</v>
      </c>
      <c r="J1133" s="9">
        <v>1</v>
      </c>
      <c r="K1133" s="9">
        <v>148</v>
      </c>
      <c r="L1133" s="9">
        <v>2023</v>
      </c>
      <c r="M1133" s="8" t="s">
        <v>6192</v>
      </c>
      <c r="N1133" s="8" t="s">
        <v>40</v>
      </c>
      <c r="O1133" s="8" t="s">
        <v>41</v>
      </c>
      <c r="P1133" s="6" t="s">
        <v>42</v>
      </c>
      <c r="Q1133" s="8" t="s">
        <v>43</v>
      </c>
      <c r="R1133" s="10" t="s">
        <v>749</v>
      </c>
      <c r="S1133" s="11"/>
      <c r="T1133" s="6"/>
      <c r="U1133" s="28" t="str">
        <f>HYPERLINK("https://media.infra-m.ru/1971/1971048/cover/1971048.jpg", "Обложка")</f>
        <v>Обложка</v>
      </c>
      <c r="V1133" s="28" t="str">
        <f>HYPERLINK("https://znanium.ru/catalog/product/1971048", "Ознакомиться")</f>
        <v>Ознакомиться</v>
      </c>
      <c r="W1133" s="8"/>
      <c r="X1133" s="6"/>
      <c r="Y1133" s="6"/>
      <c r="Z1133" s="6"/>
      <c r="AA1133" s="6" t="s">
        <v>424</v>
      </c>
    </row>
    <row r="1134" spans="1:27" s="4" customFormat="1" ht="42" customHeight="1">
      <c r="A1134" s="5">
        <v>0</v>
      </c>
      <c r="B1134" s="6" t="s">
        <v>6193</v>
      </c>
      <c r="C1134" s="7">
        <v>1061.9000000000001</v>
      </c>
      <c r="D1134" s="8" t="s">
        <v>6194</v>
      </c>
      <c r="E1134" s="8" t="s">
        <v>6195</v>
      </c>
      <c r="F1134" s="8" t="s">
        <v>6196</v>
      </c>
      <c r="G1134" s="6" t="s">
        <v>51</v>
      </c>
      <c r="H1134" s="6" t="s">
        <v>84</v>
      </c>
      <c r="I1134" s="8" t="s">
        <v>250</v>
      </c>
      <c r="J1134" s="9">
        <v>1</v>
      </c>
      <c r="K1134" s="9">
        <v>197</v>
      </c>
      <c r="L1134" s="9">
        <v>2023</v>
      </c>
      <c r="M1134" s="8" t="s">
        <v>6197</v>
      </c>
      <c r="N1134" s="8" t="s">
        <v>40</v>
      </c>
      <c r="O1134" s="8" t="s">
        <v>41</v>
      </c>
      <c r="P1134" s="6" t="s">
        <v>42</v>
      </c>
      <c r="Q1134" s="8" t="s">
        <v>43</v>
      </c>
      <c r="R1134" s="10" t="s">
        <v>69</v>
      </c>
      <c r="S1134" s="11"/>
      <c r="T1134" s="6"/>
      <c r="U1134" s="28" t="str">
        <f>HYPERLINK("https://media.infra-m.ru/1964/1964978/cover/1964978.jpg", "Обложка")</f>
        <v>Обложка</v>
      </c>
      <c r="V1134" s="28" t="str">
        <f>HYPERLINK("https://znanium.ru/catalog/product/1964978", "Ознакомиться")</f>
        <v>Ознакомиться</v>
      </c>
      <c r="W1134" s="8" t="s">
        <v>6198</v>
      </c>
      <c r="X1134" s="6"/>
      <c r="Y1134" s="6"/>
      <c r="Z1134" s="6"/>
      <c r="AA1134" s="6" t="s">
        <v>115</v>
      </c>
    </row>
    <row r="1135" spans="1:27" s="4" customFormat="1" ht="42" customHeight="1">
      <c r="A1135" s="5">
        <v>0</v>
      </c>
      <c r="B1135" s="6" t="s">
        <v>6199</v>
      </c>
      <c r="C1135" s="7">
        <v>1128</v>
      </c>
      <c r="D1135" s="8" t="s">
        <v>6200</v>
      </c>
      <c r="E1135" s="8" t="s">
        <v>6201</v>
      </c>
      <c r="F1135" s="8" t="s">
        <v>6202</v>
      </c>
      <c r="G1135" s="6" t="s">
        <v>51</v>
      </c>
      <c r="H1135" s="6" t="s">
        <v>52</v>
      </c>
      <c r="I1135" s="8" t="s">
        <v>250</v>
      </c>
      <c r="J1135" s="9">
        <v>1</v>
      </c>
      <c r="K1135" s="9">
        <v>276</v>
      </c>
      <c r="L1135" s="9">
        <v>2019</v>
      </c>
      <c r="M1135" s="8" t="s">
        <v>6203</v>
      </c>
      <c r="N1135" s="8" t="s">
        <v>40</v>
      </c>
      <c r="O1135" s="8" t="s">
        <v>41</v>
      </c>
      <c r="P1135" s="6" t="s">
        <v>42</v>
      </c>
      <c r="Q1135" s="8" t="s">
        <v>43</v>
      </c>
      <c r="R1135" s="10" t="s">
        <v>69</v>
      </c>
      <c r="S1135" s="11"/>
      <c r="T1135" s="6"/>
      <c r="U1135" s="28" t="str">
        <f>HYPERLINK("https://media.infra-m.ru/1010/1010020/cover/1010020.jpg", "Обложка")</f>
        <v>Обложка</v>
      </c>
      <c r="V1135" s="28" t="str">
        <f>HYPERLINK("https://znanium.ru/catalog/product/1150953", "Ознакомиться")</f>
        <v>Ознакомиться</v>
      </c>
      <c r="W1135" s="8"/>
      <c r="X1135" s="6"/>
      <c r="Y1135" s="6"/>
      <c r="Z1135" s="6"/>
      <c r="AA1135" s="6" t="s">
        <v>865</v>
      </c>
    </row>
    <row r="1136" spans="1:27" s="4" customFormat="1" ht="42" customHeight="1">
      <c r="A1136" s="5">
        <v>0</v>
      </c>
      <c r="B1136" s="6" t="s">
        <v>6204</v>
      </c>
      <c r="C1136" s="7">
        <v>1924.8</v>
      </c>
      <c r="D1136" s="8" t="s">
        <v>6205</v>
      </c>
      <c r="E1136" s="8" t="s">
        <v>6206</v>
      </c>
      <c r="F1136" s="8" t="s">
        <v>6202</v>
      </c>
      <c r="G1136" s="6" t="s">
        <v>51</v>
      </c>
      <c r="H1136" s="6" t="s">
        <v>52</v>
      </c>
      <c r="I1136" s="8" t="s">
        <v>250</v>
      </c>
      <c r="J1136" s="9">
        <v>1</v>
      </c>
      <c r="K1136" s="9">
        <v>348</v>
      </c>
      <c r="L1136" s="9">
        <v>2024</v>
      </c>
      <c r="M1136" s="8" t="s">
        <v>6207</v>
      </c>
      <c r="N1136" s="8" t="s">
        <v>40</v>
      </c>
      <c r="O1136" s="8" t="s">
        <v>41</v>
      </c>
      <c r="P1136" s="6" t="s">
        <v>42</v>
      </c>
      <c r="Q1136" s="8" t="s">
        <v>43</v>
      </c>
      <c r="R1136" s="10" t="s">
        <v>69</v>
      </c>
      <c r="S1136" s="11"/>
      <c r="T1136" s="6"/>
      <c r="U1136" s="28" t="str">
        <f>HYPERLINK("https://media.infra-m.ru/1911/1911798/cover/1911798.jpg", "Обложка")</f>
        <v>Обложка</v>
      </c>
      <c r="V1136" s="28" t="str">
        <f>HYPERLINK("https://znanium.ru/catalog/product/1150953", "Ознакомиться")</f>
        <v>Ознакомиться</v>
      </c>
      <c r="W1136" s="8"/>
      <c r="X1136" s="6"/>
      <c r="Y1136" s="6"/>
      <c r="Z1136" s="6"/>
      <c r="AA1136" s="6" t="s">
        <v>673</v>
      </c>
    </row>
    <row r="1137" spans="1:27" s="4" customFormat="1" ht="42" customHeight="1">
      <c r="A1137" s="5">
        <v>0</v>
      </c>
      <c r="B1137" s="6" t="s">
        <v>6208</v>
      </c>
      <c r="C1137" s="7">
        <v>1056</v>
      </c>
      <c r="D1137" s="8" t="s">
        <v>6209</v>
      </c>
      <c r="E1137" s="8" t="s">
        <v>6210</v>
      </c>
      <c r="F1137" s="8" t="s">
        <v>6202</v>
      </c>
      <c r="G1137" s="6" t="s">
        <v>51</v>
      </c>
      <c r="H1137" s="6" t="s">
        <v>52</v>
      </c>
      <c r="I1137" s="8" t="s">
        <v>250</v>
      </c>
      <c r="J1137" s="9">
        <v>1</v>
      </c>
      <c r="K1137" s="9">
        <v>282</v>
      </c>
      <c r="L1137" s="9">
        <v>2017</v>
      </c>
      <c r="M1137" s="8" t="s">
        <v>6211</v>
      </c>
      <c r="N1137" s="8" t="s">
        <v>40</v>
      </c>
      <c r="O1137" s="8" t="s">
        <v>41</v>
      </c>
      <c r="P1137" s="6" t="s">
        <v>42</v>
      </c>
      <c r="Q1137" s="8" t="s">
        <v>43</v>
      </c>
      <c r="R1137" s="10" t="s">
        <v>69</v>
      </c>
      <c r="S1137" s="11"/>
      <c r="T1137" s="6"/>
      <c r="U1137" s="28" t="str">
        <f>HYPERLINK("https://media.infra-m.ru/0851/0851217/cover/851217.jpg", "Обложка")</f>
        <v>Обложка</v>
      </c>
      <c r="V1137" s="28" t="str">
        <f>HYPERLINK("https://znanium.ru/catalog/product/1150953", "Ознакомиться")</f>
        <v>Ознакомиться</v>
      </c>
      <c r="W1137" s="8"/>
      <c r="X1137" s="6"/>
      <c r="Y1137" s="6"/>
      <c r="Z1137" s="6"/>
      <c r="AA1137" s="6" t="s">
        <v>302</v>
      </c>
    </row>
    <row r="1138" spans="1:27" s="4" customFormat="1" ht="51.95" customHeight="1">
      <c r="A1138" s="5">
        <v>0</v>
      </c>
      <c r="B1138" s="6" t="s">
        <v>6212</v>
      </c>
      <c r="C1138" s="7">
        <v>1168.8</v>
      </c>
      <c r="D1138" s="8" t="s">
        <v>6213</v>
      </c>
      <c r="E1138" s="8" t="s">
        <v>6214</v>
      </c>
      <c r="F1138" s="8" t="s">
        <v>6215</v>
      </c>
      <c r="G1138" s="6" t="s">
        <v>51</v>
      </c>
      <c r="H1138" s="6" t="s">
        <v>38</v>
      </c>
      <c r="I1138" s="8"/>
      <c r="J1138" s="9">
        <v>1</v>
      </c>
      <c r="K1138" s="9">
        <v>208</v>
      </c>
      <c r="L1138" s="9">
        <v>2024</v>
      </c>
      <c r="M1138" s="8" t="s">
        <v>6216</v>
      </c>
      <c r="N1138" s="8" t="s">
        <v>40</v>
      </c>
      <c r="O1138" s="8" t="s">
        <v>41</v>
      </c>
      <c r="P1138" s="6" t="s">
        <v>4419</v>
      </c>
      <c r="Q1138" s="8" t="s">
        <v>43</v>
      </c>
      <c r="R1138" s="10" t="s">
        <v>6217</v>
      </c>
      <c r="S1138" s="11"/>
      <c r="T1138" s="6"/>
      <c r="U1138" s="28" t="str">
        <f>HYPERLINK("https://media.infra-m.ru/2133/2133516/cover/2133516.jpg", "Обложка")</f>
        <v>Обложка</v>
      </c>
      <c r="V1138" s="28" t="str">
        <f>HYPERLINK("https://znanium.ru/catalog/product/1425538", "Ознакомиться")</f>
        <v>Ознакомиться</v>
      </c>
      <c r="W1138" s="8" t="s">
        <v>114</v>
      </c>
      <c r="X1138" s="6"/>
      <c r="Y1138" s="6"/>
      <c r="Z1138" s="6"/>
      <c r="AA1138" s="6" t="s">
        <v>302</v>
      </c>
    </row>
    <row r="1139" spans="1:27" s="4" customFormat="1" ht="51.95" customHeight="1">
      <c r="A1139" s="5">
        <v>0</v>
      </c>
      <c r="B1139" s="6" t="s">
        <v>6218</v>
      </c>
      <c r="C1139" s="7">
        <v>1272</v>
      </c>
      <c r="D1139" s="8" t="s">
        <v>6219</v>
      </c>
      <c r="E1139" s="8" t="s">
        <v>6220</v>
      </c>
      <c r="F1139" s="8" t="s">
        <v>4472</v>
      </c>
      <c r="G1139" s="6" t="s">
        <v>58</v>
      </c>
      <c r="H1139" s="6" t="s">
        <v>84</v>
      </c>
      <c r="I1139" s="8" t="s">
        <v>250</v>
      </c>
      <c r="J1139" s="9">
        <v>1</v>
      </c>
      <c r="K1139" s="9">
        <v>223</v>
      </c>
      <c r="L1139" s="9">
        <v>2024</v>
      </c>
      <c r="M1139" s="8" t="s">
        <v>6221</v>
      </c>
      <c r="N1139" s="8" t="s">
        <v>40</v>
      </c>
      <c r="O1139" s="8" t="s">
        <v>41</v>
      </c>
      <c r="P1139" s="6" t="s">
        <v>42</v>
      </c>
      <c r="Q1139" s="8" t="s">
        <v>43</v>
      </c>
      <c r="R1139" s="10" t="s">
        <v>496</v>
      </c>
      <c r="S1139" s="11"/>
      <c r="T1139" s="6"/>
      <c r="U1139" s="28" t="str">
        <f>HYPERLINK("https://media.infra-m.ru/1989/1989216/cover/1989216.jpg", "Обложка")</f>
        <v>Обложка</v>
      </c>
      <c r="V1139" s="28" t="str">
        <f>HYPERLINK("https://znanium.ru/catalog/product/1989216", "Ознакомиться")</f>
        <v>Ознакомиться</v>
      </c>
      <c r="W1139" s="8" t="s">
        <v>170</v>
      </c>
      <c r="X1139" s="6" t="s">
        <v>264</v>
      </c>
      <c r="Y1139" s="6"/>
      <c r="Z1139" s="6"/>
      <c r="AA1139" s="6" t="s">
        <v>100</v>
      </c>
    </row>
    <row r="1140" spans="1:27" s="4" customFormat="1" ht="51.95" customHeight="1">
      <c r="A1140" s="5">
        <v>0</v>
      </c>
      <c r="B1140" s="6" t="s">
        <v>6222</v>
      </c>
      <c r="C1140" s="7">
        <v>1296</v>
      </c>
      <c r="D1140" s="8" t="s">
        <v>6223</v>
      </c>
      <c r="E1140" s="8" t="s">
        <v>6224</v>
      </c>
      <c r="F1140" s="8" t="s">
        <v>1462</v>
      </c>
      <c r="G1140" s="6" t="s">
        <v>37</v>
      </c>
      <c r="H1140" s="6" t="s">
        <v>38</v>
      </c>
      <c r="I1140" s="8"/>
      <c r="J1140" s="9">
        <v>1</v>
      </c>
      <c r="K1140" s="9">
        <v>240</v>
      </c>
      <c r="L1140" s="9">
        <v>2023</v>
      </c>
      <c r="M1140" s="8" t="s">
        <v>6225</v>
      </c>
      <c r="N1140" s="8" t="s">
        <v>40</v>
      </c>
      <c r="O1140" s="8" t="s">
        <v>41</v>
      </c>
      <c r="P1140" s="6" t="s">
        <v>42</v>
      </c>
      <c r="Q1140" s="8" t="s">
        <v>43</v>
      </c>
      <c r="R1140" s="10" t="s">
        <v>469</v>
      </c>
      <c r="S1140" s="11"/>
      <c r="T1140" s="6"/>
      <c r="U1140" s="28" t="str">
        <f>HYPERLINK("https://media.infra-m.ru/1981/1981720/cover/1981720.jpg", "Обложка")</f>
        <v>Обложка</v>
      </c>
      <c r="V1140" s="28" t="str">
        <f>HYPERLINK("https://znanium.ru/catalog/product/1981720", "Ознакомиться")</f>
        <v>Ознакомиться</v>
      </c>
      <c r="W1140" s="8" t="s">
        <v>114</v>
      </c>
      <c r="X1140" s="6"/>
      <c r="Y1140" s="6"/>
      <c r="Z1140" s="6"/>
      <c r="AA1140" s="6" t="s">
        <v>46</v>
      </c>
    </row>
    <row r="1141" spans="1:27" s="4" customFormat="1" ht="51.95" customHeight="1">
      <c r="A1141" s="5">
        <v>0</v>
      </c>
      <c r="B1141" s="6" t="s">
        <v>6226</v>
      </c>
      <c r="C1141" s="7">
        <v>1200</v>
      </c>
      <c r="D1141" s="8" t="s">
        <v>6227</v>
      </c>
      <c r="E1141" s="8" t="s">
        <v>6224</v>
      </c>
      <c r="F1141" s="8" t="s">
        <v>6228</v>
      </c>
      <c r="G1141" s="6" t="s">
        <v>37</v>
      </c>
      <c r="H1141" s="6" t="s">
        <v>38</v>
      </c>
      <c r="I1141" s="8"/>
      <c r="J1141" s="9">
        <v>1</v>
      </c>
      <c r="K1141" s="9">
        <v>208</v>
      </c>
      <c r="L1141" s="9">
        <v>2024</v>
      </c>
      <c r="M1141" s="8" t="s">
        <v>6229</v>
      </c>
      <c r="N1141" s="8" t="s">
        <v>40</v>
      </c>
      <c r="O1141" s="8" t="s">
        <v>41</v>
      </c>
      <c r="P1141" s="6" t="s">
        <v>75</v>
      </c>
      <c r="Q1141" s="8" t="s">
        <v>76</v>
      </c>
      <c r="R1141" s="10" t="s">
        <v>3244</v>
      </c>
      <c r="S1141" s="11"/>
      <c r="T1141" s="6"/>
      <c r="U1141" s="28" t="str">
        <f>HYPERLINK("https://media.infra-m.ru/2132/2132119/cover/2132119.jpg", "Обложка")</f>
        <v>Обложка</v>
      </c>
      <c r="V1141" s="28" t="str">
        <f>HYPERLINK("https://znanium.ru/catalog/product/2132119", "Ознакомиться")</f>
        <v>Ознакомиться</v>
      </c>
      <c r="W1141" s="8" t="s">
        <v>6230</v>
      </c>
      <c r="X1141" s="6"/>
      <c r="Y1141" s="6"/>
      <c r="Z1141" s="6"/>
      <c r="AA1141" s="6" t="s">
        <v>79</v>
      </c>
    </row>
    <row r="1142" spans="1:27" s="4" customFormat="1" ht="51.95" customHeight="1">
      <c r="A1142" s="5">
        <v>0</v>
      </c>
      <c r="B1142" s="6" t="s">
        <v>6231</v>
      </c>
      <c r="C1142" s="7">
        <v>1488</v>
      </c>
      <c r="D1142" s="8" t="s">
        <v>6232</v>
      </c>
      <c r="E1142" s="8" t="s">
        <v>6233</v>
      </c>
      <c r="F1142" s="8" t="s">
        <v>1816</v>
      </c>
      <c r="G1142" s="6" t="s">
        <v>37</v>
      </c>
      <c r="H1142" s="6" t="s">
        <v>38</v>
      </c>
      <c r="I1142" s="8"/>
      <c r="J1142" s="9">
        <v>1</v>
      </c>
      <c r="K1142" s="9">
        <v>272</v>
      </c>
      <c r="L1142" s="9">
        <v>2024</v>
      </c>
      <c r="M1142" s="8" t="s">
        <v>6234</v>
      </c>
      <c r="N1142" s="8" t="s">
        <v>40</v>
      </c>
      <c r="O1142" s="8" t="s">
        <v>41</v>
      </c>
      <c r="P1142" s="6" t="s">
        <v>75</v>
      </c>
      <c r="Q1142" s="8" t="s">
        <v>76</v>
      </c>
      <c r="R1142" s="10" t="s">
        <v>122</v>
      </c>
      <c r="S1142" s="11"/>
      <c r="T1142" s="6"/>
      <c r="U1142" s="28" t="str">
        <f>HYPERLINK("https://media.infra-m.ru/2081/2081650/cover/2081650.jpg", "Обложка")</f>
        <v>Обложка</v>
      </c>
      <c r="V1142" s="28" t="str">
        <f>HYPERLINK("https://znanium.ru/catalog/product/2081650", "Ознакомиться")</f>
        <v>Ознакомиться</v>
      </c>
      <c r="W1142" s="8" t="s">
        <v>1393</v>
      </c>
      <c r="X1142" s="6"/>
      <c r="Y1142" s="6"/>
      <c r="Z1142" s="6"/>
      <c r="AA1142" s="6" t="s">
        <v>79</v>
      </c>
    </row>
    <row r="1143" spans="1:27" s="4" customFormat="1" ht="51.95" customHeight="1">
      <c r="A1143" s="5">
        <v>0</v>
      </c>
      <c r="B1143" s="6" t="s">
        <v>6235</v>
      </c>
      <c r="C1143" s="7">
        <v>1800</v>
      </c>
      <c r="D1143" s="8" t="s">
        <v>6236</v>
      </c>
      <c r="E1143" s="8" t="s">
        <v>6237</v>
      </c>
      <c r="F1143" s="8" t="s">
        <v>912</v>
      </c>
      <c r="G1143" s="6" t="s">
        <v>37</v>
      </c>
      <c r="H1143" s="6" t="s">
        <v>84</v>
      </c>
      <c r="I1143" s="8" t="s">
        <v>184</v>
      </c>
      <c r="J1143" s="9">
        <v>1</v>
      </c>
      <c r="K1143" s="9">
        <v>418</v>
      </c>
      <c r="L1143" s="9">
        <v>2021</v>
      </c>
      <c r="M1143" s="8" t="s">
        <v>6238</v>
      </c>
      <c r="N1143" s="8" t="s">
        <v>40</v>
      </c>
      <c r="O1143" s="8" t="s">
        <v>41</v>
      </c>
      <c r="P1143" s="6" t="s">
        <v>95</v>
      </c>
      <c r="Q1143" s="8" t="s">
        <v>76</v>
      </c>
      <c r="R1143" s="10" t="s">
        <v>1840</v>
      </c>
      <c r="S1143" s="11" t="s">
        <v>6239</v>
      </c>
      <c r="T1143" s="6"/>
      <c r="U1143" s="28" t="str">
        <f>HYPERLINK("https://media.infra-m.ru/1217/1217734/cover/1217734.jpg", "Обложка")</f>
        <v>Обложка</v>
      </c>
      <c r="V1143" s="28" t="str">
        <f>HYPERLINK("https://znanium.ru/catalog/product/1217734", "Ознакомиться")</f>
        <v>Ознакомиться</v>
      </c>
      <c r="W1143" s="8" t="s">
        <v>536</v>
      </c>
      <c r="X1143" s="6"/>
      <c r="Y1143" s="6"/>
      <c r="Z1143" s="6"/>
      <c r="AA1143" s="6" t="s">
        <v>769</v>
      </c>
    </row>
    <row r="1144" spans="1:27" s="4" customFormat="1" ht="51.95" customHeight="1">
      <c r="A1144" s="5">
        <v>0</v>
      </c>
      <c r="B1144" s="6" t="s">
        <v>6240</v>
      </c>
      <c r="C1144" s="7">
        <v>1313.9</v>
      </c>
      <c r="D1144" s="8" t="s">
        <v>6241</v>
      </c>
      <c r="E1144" s="8" t="s">
        <v>6242</v>
      </c>
      <c r="F1144" s="8" t="s">
        <v>912</v>
      </c>
      <c r="G1144" s="6" t="s">
        <v>58</v>
      </c>
      <c r="H1144" s="6" t="s">
        <v>84</v>
      </c>
      <c r="I1144" s="8" t="s">
        <v>184</v>
      </c>
      <c r="J1144" s="9">
        <v>1</v>
      </c>
      <c r="K1144" s="9">
        <v>376</v>
      </c>
      <c r="L1144" s="9">
        <v>2018</v>
      </c>
      <c r="M1144" s="8" t="s">
        <v>6243</v>
      </c>
      <c r="N1144" s="8" t="s">
        <v>40</v>
      </c>
      <c r="O1144" s="8" t="s">
        <v>41</v>
      </c>
      <c r="P1144" s="6" t="s">
        <v>95</v>
      </c>
      <c r="Q1144" s="8" t="s">
        <v>76</v>
      </c>
      <c r="R1144" s="10" t="s">
        <v>1840</v>
      </c>
      <c r="S1144" s="11" t="s">
        <v>1841</v>
      </c>
      <c r="T1144" s="6"/>
      <c r="U1144" s="28" t="str">
        <f>HYPERLINK("https://media.infra-m.ru/0926/0926864/cover/926864.jpg", "Обложка")</f>
        <v>Обложка</v>
      </c>
      <c r="V1144" s="28" t="str">
        <f>HYPERLINK("https://znanium.ru/catalog/product/1217734", "Ознакомиться")</f>
        <v>Ознакомиться</v>
      </c>
      <c r="W1144" s="8" t="s">
        <v>536</v>
      </c>
      <c r="X1144" s="6"/>
      <c r="Y1144" s="6"/>
      <c r="Z1144" s="6"/>
      <c r="AA1144" s="6" t="s">
        <v>88</v>
      </c>
    </row>
    <row r="1145" spans="1:27" s="4" customFormat="1" ht="42" customHeight="1">
      <c r="A1145" s="5">
        <v>0</v>
      </c>
      <c r="B1145" s="6" t="s">
        <v>6244</v>
      </c>
      <c r="C1145" s="7">
        <v>1044</v>
      </c>
      <c r="D1145" s="8" t="s">
        <v>6245</v>
      </c>
      <c r="E1145" s="8" t="s">
        <v>6246</v>
      </c>
      <c r="F1145" s="8" t="s">
        <v>6247</v>
      </c>
      <c r="G1145" s="6" t="s">
        <v>37</v>
      </c>
      <c r="H1145" s="6" t="s">
        <v>38</v>
      </c>
      <c r="I1145" s="8"/>
      <c r="J1145" s="9">
        <v>1</v>
      </c>
      <c r="K1145" s="9">
        <v>184</v>
      </c>
      <c r="L1145" s="9">
        <v>2024</v>
      </c>
      <c r="M1145" s="8" t="s">
        <v>6248</v>
      </c>
      <c r="N1145" s="8" t="s">
        <v>40</v>
      </c>
      <c r="O1145" s="8" t="s">
        <v>41</v>
      </c>
      <c r="P1145" s="6" t="s">
        <v>42</v>
      </c>
      <c r="Q1145" s="8" t="s">
        <v>43</v>
      </c>
      <c r="R1145" s="10" t="s">
        <v>1376</v>
      </c>
      <c r="S1145" s="11"/>
      <c r="T1145" s="6"/>
      <c r="U1145" s="28" t="str">
        <f>HYPERLINK("https://media.infra-m.ru/2143/2143808/cover/2143808.jpg", "Обложка")</f>
        <v>Обложка</v>
      </c>
      <c r="V1145" s="28" t="str">
        <f>HYPERLINK("https://znanium.ru/catalog/product/2143808", "Ознакомиться")</f>
        <v>Ознакомиться</v>
      </c>
      <c r="W1145" s="8" t="s">
        <v>45</v>
      </c>
      <c r="X1145" s="6"/>
      <c r="Y1145" s="6"/>
      <c r="Z1145" s="6"/>
      <c r="AA1145" s="6" t="s">
        <v>62</v>
      </c>
    </row>
    <row r="1146" spans="1:27" s="4" customFormat="1" ht="51.95" customHeight="1">
      <c r="A1146" s="5">
        <v>0</v>
      </c>
      <c r="B1146" s="6" t="s">
        <v>6249</v>
      </c>
      <c r="C1146" s="13">
        <v>628.79999999999995</v>
      </c>
      <c r="D1146" s="8" t="s">
        <v>6250</v>
      </c>
      <c r="E1146" s="8" t="s">
        <v>6251</v>
      </c>
      <c r="F1146" s="8" t="s">
        <v>6252</v>
      </c>
      <c r="G1146" s="6" t="s">
        <v>51</v>
      </c>
      <c r="H1146" s="6" t="s">
        <v>38</v>
      </c>
      <c r="I1146" s="8"/>
      <c r="J1146" s="9">
        <v>1</v>
      </c>
      <c r="K1146" s="9">
        <v>112</v>
      </c>
      <c r="L1146" s="9">
        <v>2024</v>
      </c>
      <c r="M1146" s="8" t="s">
        <v>6253</v>
      </c>
      <c r="N1146" s="8" t="s">
        <v>40</v>
      </c>
      <c r="O1146" s="8" t="s">
        <v>41</v>
      </c>
      <c r="P1146" s="6" t="s">
        <v>42</v>
      </c>
      <c r="Q1146" s="8" t="s">
        <v>43</v>
      </c>
      <c r="R1146" s="10" t="s">
        <v>6254</v>
      </c>
      <c r="S1146" s="11"/>
      <c r="T1146" s="6"/>
      <c r="U1146" s="28" t="str">
        <f>HYPERLINK("https://media.infra-m.ru/2133/2133525/cover/2133525.jpg", "Обложка")</f>
        <v>Обложка</v>
      </c>
      <c r="V1146" s="28" t="str">
        <f>HYPERLINK("https://znanium.ru/catalog/product/1846282", "Ознакомиться")</f>
        <v>Ознакомиться</v>
      </c>
      <c r="W1146" s="8" t="s">
        <v>1405</v>
      </c>
      <c r="X1146" s="6"/>
      <c r="Y1146" s="6"/>
      <c r="Z1146" s="6"/>
      <c r="AA1146" s="6" t="s">
        <v>302</v>
      </c>
    </row>
    <row r="1147" spans="1:27" s="4" customFormat="1" ht="42" customHeight="1">
      <c r="A1147" s="5">
        <v>0</v>
      </c>
      <c r="B1147" s="6" t="s">
        <v>6255</v>
      </c>
      <c r="C1147" s="7">
        <v>1768.8</v>
      </c>
      <c r="D1147" s="8" t="s">
        <v>6256</v>
      </c>
      <c r="E1147" s="8" t="s">
        <v>6257</v>
      </c>
      <c r="F1147" s="8" t="s">
        <v>3557</v>
      </c>
      <c r="G1147" s="6" t="s">
        <v>58</v>
      </c>
      <c r="H1147" s="6" t="s">
        <v>38</v>
      </c>
      <c r="I1147" s="8"/>
      <c r="J1147" s="9">
        <v>1</v>
      </c>
      <c r="K1147" s="9">
        <v>320</v>
      </c>
      <c r="L1147" s="9">
        <v>2023</v>
      </c>
      <c r="M1147" s="8" t="s">
        <v>6258</v>
      </c>
      <c r="N1147" s="8" t="s">
        <v>40</v>
      </c>
      <c r="O1147" s="8" t="s">
        <v>41</v>
      </c>
      <c r="P1147" s="6" t="s">
        <v>42</v>
      </c>
      <c r="Q1147" s="8" t="s">
        <v>43</v>
      </c>
      <c r="R1147" s="10" t="s">
        <v>314</v>
      </c>
      <c r="S1147" s="11"/>
      <c r="T1147" s="6"/>
      <c r="U1147" s="28" t="str">
        <f>HYPERLINK("https://media.infra-m.ru/2050/2050523/cover/2050523.jpg", "Обложка")</f>
        <v>Обложка</v>
      </c>
      <c r="V1147" s="28" t="str">
        <f>HYPERLINK("https://znanium.ru/catalog/product/1240965", "Ознакомиться")</f>
        <v>Ознакомиться</v>
      </c>
      <c r="W1147" s="8" t="s">
        <v>743</v>
      </c>
      <c r="X1147" s="6"/>
      <c r="Y1147" s="6"/>
      <c r="Z1147" s="6"/>
      <c r="AA1147" s="6" t="s">
        <v>293</v>
      </c>
    </row>
    <row r="1148" spans="1:27" s="4" customFormat="1" ht="51.95" customHeight="1">
      <c r="A1148" s="5">
        <v>0</v>
      </c>
      <c r="B1148" s="6" t="s">
        <v>6259</v>
      </c>
      <c r="C1148" s="7">
        <v>1896</v>
      </c>
      <c r="D1148" s="8" t="s">
        <v>6260</v>
      </c>
      <c r="E1148" s="8" t="s">
        <v>6261</v>
      </c>
      <c r="F1148" s="8" t="s">
        <v>6262</v>
      </c>
      <c r="G1148" s="6" t="s">
        <v>37</v>
      </c>
      <c r="H1148" s="6" t="s">
        <v>38</v>
      </c>
      <c r="I1148" s="8"/>
      <c r="J1148" s="9">
        <v>1</v>
      </c>
      <c r="K1148" s="9">
        <v>336</v>
      </c>
      <c r="L1148" s="9">
        <v>2024</v>
      </c>
      <c r="M1148" s="8" t="s">
        <v>6263</v>
      </c>
      <c r="N1148" s="8" t="s">
        <v>40</v>
      </c>
      <c r="O1148" s="8" t="s">
        <v>41</v>
      </c>
      <c r="P1148" s="6" t="s">
        <v>42</v>
      </c>
      <c r="Q1148" s="8" t="s">
        <v>43</v>
      </c>
      <c r="R1148" s="10" t="s">
        <v>252</v>
      </c>
      <c r="S1148" s="11"/>
      <c r="T1148" s="6"/>
      <c r="U1148" s="28" t="str">
        <f>HYPERLINK("https://media.infra-m.ru/2143/2143329/cover/2143329.jpg", "Обложка")</f>
        <v>Обложка</v>
      </c>
      <c r="V1148" s="28" t="str">
        <f>HYPERLINK("https://znanium.ru/catalog/product/2143329", "Ознакомиться")</f>
        <v>Ознакомиться</v>
      </c>
      <c r="W1148" s="8" t="s">
        <v>45</v>
      </c>
      <c r="X1148" s="6"/>
      <c r="Y1148" s="6"/>
      <c r="Z1148" s="6"/>
      <c r="AA1148" s="6" t="s">
        <v>417</v>
      </c>
    </row>
    <row r="1149" spans="1:27" s="4" customFormat="1" ht="42" customHeight="1">
      <c r="A1149" s="5">
        <v>0</v>
      </c>
      <c r="B1149" s="6" t="s">
        <v>6264</v>
      </c>
      <c r="C1149" s="7">
        <v>1212</v>
      </c>
      <c r="D1149" s="8" t="s">
        <v>6265</v>
      </c>
      <c r="E1149" s="8" t="s">
        <v>6266</v>
      </c>
      <c r="F1149" s="8" t="s">
        <v>6267</v>
      </c>
      <c r="G1149" s="6" t="s">
        <v>37</v>
      </c>
      <c r="H1149" s="6" t="s">
        <v>38</v>
      </c>
      <c r="I1149" s="8"/>
      <c r="J1149" s="9">
        <v>1</v>
      </c>
      <c r="K1149" s="9">
        <v>224</v>
      </c>
      <c r="L1149" s="9">
        <v>2023</v>
      </c>
      <c r="M1149" s="8" t="s">
        <v>6268</v>
      </c>
      <c r="N1149" s="8" t="s">
        <v>40</v>
      </c>
      <c r="O1149" s="8" t="s">
        <v>41</v>
      </c>
      <c r="P1149" s="6" t="s">
        <v>42</v>
      </c>
      <c r="Q1149" s="8" t="s">
        <v>43</v>
      </c>
      <c r="R1149" s="10" t="s">
        <v>69</v>
      </c>
      <c r="S1149" s="11"/>
      <c r="T1149" s="6"/>
      <c r="U1149" s="28" t="str">
        <f>HYPERLINK("https://media.infra-m.ru/1880/1880883/cover/1880883.jpg", "Обложка")</f>
        <v>Обложка</v>
      </c>
      <c r="V1149" s="28" t="str">
        <f>HYPERLINK("https://znanium.ru/catalog/product/1880883", "Ознакомиться")</f>
        <v>Ознакомиться</v>
      </c>
      <c r="W1149" s="8" t="s">
        <v>45</v>
      </c>
      <c r="X1149" s="6"/>
      <c r="Y1149" s="6"/>
      <c r="Z1149" s="6"/>
      <c r="AA1149" s="6" t="s">
        <v>115</v>
      </c>
    </row>
    <row r="1150" spans="1:27" s="4" customFormat="1" ht="42" customHeight="1">
      <c r="A1150" s="5">
        <v>0</v>
      </c>
      <c r="B1150" s="6" t="s">
        <v>6269</v>
      </c>
      <c r="C1150" s="7">
        <v>1668</v>
      </c>
      <c r="D1150" s="8" t="s">
        <v>6270</v>
      </c>
      <c r="E1150" s="8" t="s">
        <v>6271</v>
      </c>
      <c r="F1150" s="8" t="s">
        <v>6272</v>
      </c>
      <c r="G1150" s="6" t="s">
        <v>37</v>
      </c>
      <c r="H1150" s="6" t="s">
        <v>38</v>
      </c>
      <c r="I1150" s="8"/>
      <c r="J1150" s="9">
        <v>1</v>
      </c>
      <c r="K1150" s="9">
        <v>288</v>
      </c>
      <c r="L1150" s="9">
        <v>2023</v>
      </c>
      <c r="M1150" s="8" t="s">
        <v>6273</v>
      </c>
      <c r="N1150" s="8" t="s">
        <v>40</v>
      </c>
      <c r="O1150" s="8" t="s">
        <v>41</v>
      </c>
      <c r="P1150" s="6" t="s">
        <v>42</v>
      </c>
      <c r="Q1150" s="8" t="s">
        <v>43</v>
      </c>
      <c r="R1150" s="10" t="s">
        <v>69</v>
      </c>
      <c r="S1150" s="11"/>
      <c r="T1150" s="6"/>
      <c r="U1150" s="28" t="str">
        <f>HYPERLINK("https://media.infra-m.ru/1920/1920523/cover/1920523.jpg", "Обложка")</f>
        <v>Обложка</v>
      </c>
      <c r="V1150" s="28" t="str">
        <f>HYPERLINK("https://znanium.ru/catalog/product/1920523", "Ознакомиться")</f>
        <v>Ознакомиться</v>
      </c>
      <c r="W1150" s="8" t="s">
        <v>568</v>
      </c>
      <c r="X1150" s="6"/>
      <c r="Y1150" s="6"/>
      <c r="Z1150" s="6"/>
      <c r="AA1150" s="6" t="s">
        <v>353</v>
      </c>
    </row>
    <row r="1151" spans="1:27" s="4" customFormat="1" ht="51.95" customHeight="1">
      <c r="A1151" s="5">
        <v>0</v>
      </c>
      <c r="B1151" s="6" t="s">
        <v>6274</v>
      </c>
      <c r="C1151" s="7">
        <v>2440.8000000000002</v>
      </c>
      <c r="D1151" s="8" t="s">
        <v>6275</v>
      </c>
      <c r="E1151" s="8" t="s">
        <v>6276</v>
      </c>
      <c r="F1151" s="8" t="s">
        <v>6277</v>
      </c>
      <c r="G1151" s="6" t="s">
        <v>58</v>
      </c>
      <c r="H1151" s="6" t="s">
        <v>38</v>
      </c>
      <c r="I1151" s="8"/>
      <c r="J1151" s="9">
        <v>1</v>
      </c>
      <c r="K1151" s="9">
        <v>432</v>
      </c>
      <c r="L1151" s="9">
        <v>2024</v>
      </c>
      <c r="M1151" s="8" t="s">
        <v>6278</v>
      </c>
      <c r="N1151" s="8" t="s">
        <v>40</v>
      </c>
      <c r="O1151" s="8" t="s">
        <v>41</v>
      </c>
      <c r="P1151" s="6" t="s">
        <v>42</v>
      </c>
      <c r="Q1151" s="8" t="s">
        <v>43</v>
      </c>
      <c r="R1151" s="10" t="s">
        <v>6279</v>
      </c>
      <c r="S1151" s="11"/>
      <c r="T1151" s="6"/>
      <c r="U1151" s="28" t="str">
        <f>HYPERLINK("https://media.infra-m.ru/2143/2143327/cover/2143327.jpg", "Обложка")</f>
        <v>Обложка</v>
      </c>
      <c r="V1151" s="28" t="str">
        <f>HYPERLINK("https://znanium.ru/catalog/product/1923122", "Ознакомиться")</f>
        <v>Ознакомиться</v>
      </c>
      <c r="W1151" s="8" t="s">
        <v>45</v>
      </c>
      <c r="X1151" s="6"/>
      <c r="Y1151" s="6"/>
      <c r="Z1151" s="6"/>
      <c r="AA1151" s="6" t="s">
        <v>353</v>
      </c>
    </row>
    <row r="1152" spans="1:27" s="4" customFormat="1" ht="51.95" customHeight="1">
      <c r="A1152" s="5">
        <v>0</v>
      </c>
      <c r="B1152" s="6" t="s">
        <v>6280</v>
      </c>
      <c r="C1152" s="13">
        <v>828</v>
      </c>
      <c r="D1152" s="8" t="s">
        <v>6281</v>
      </c>
      <c r="E1152" s="8" t="s">
        <v>6282</v>
      </c>
      <c r="F1152" s="8" t="s">
        <v>6283</v>
      </c>
      <c r="G1152" s="6" t="s">
        <v>37</v>
      </c>
      <c r="H1152" s="6" t="s">
        <v>38</v>
      </c>
      <c r="I1152" s="8"/>
      <c r="J1152" s="9">
        <v>1</v>
      </c>
      <c r="K1152" s="9">
        <v>144</v>
      </c>
      <c r="L1152" s="9">
        <v>2024</v>
      </c>
      <c r="M1152" s="8" t="s">
        <v>6284</v>
      </c>
      <c r="N1152" s="8" t="s">
        <v>40</v>
      </c>
      <c r="O1152" s="8" t="s">
        <v>41</v>
      </c>
      <c r="P1152" s="6" t="s">
        <v>42</v>
      </c>
      <c r="Q1152" s="8" t="s">
        <v>43</v>
      </c>
      <c r="R1152" s="10" t="s">
        <v>3889</v>
      </c>
      <c r="S1152" s="11"/>
      <c r="T1152" s="6"/>
      <c r="U1152" s="28" t="str">
        <f>HYPERLINK("https://media.infra-m.ru/2130/2130207/cover/2130207.jpg", "Обложка")</f>
        <v>Обложка</v>
      </c>
      <c r="V1152" s="28" t="str">
        <f>HYPERLINK("https://znanium.ru/catalog/product/2130207", "Ознакомиться")</f>
        <v>Ознакомиться</v>
      </c>
      <c r="W1152" s="8" t="s">
        <v>78</v>
      </c>
      <c r="X1152" s="6"/>
      <c r="Y1152" s="6"/>
      <c r="Z1152" s="6"/>
      <c r="AA1152" s="6" t="s">
        <v>315</v>
      </c>
    </row>
    <row r="1153" spans="1:27" s="4" customFormat="1" ht="51.95" customHeight="1">
      <c r="A1153" s="5">
        <v>0</v>
      </c>
      <c r="B1153" s="6" t="s">
        <v>6285</v>
      </c>
      <c r="C1153" s="7">
        <v>1672.8</v>
      </c>
      <c r="D1153" s="8" t="s">
        <v>6286</v>
      </c>
      <c r="E1153" s="8" t="s">
        <v>6287</v>
      </c>
      <c r="F1153" s="8" t="s">
        <v>6288</v>
      </c>
      <c r="G1153" s="6" t="s">
        <v>58</v>
      </c>
      <c r="H1153" s="6" t="s">
        <v>38</v>
      </c>
      <c r="I1153" s="8"/>
      <c r="J1153" s="9">
        <v>1</v>
      </c>
      <c r="K1153" s="9">
        <v>304</v>
      </c>
      <c r="L1153" s="9">
        <v>2024</v>
      </c>
      <c r="M1153" s="8" t="s">
        <v>6289</v>
      </c>
      <c r="N1153" s="8" t="s">
        <v>40</v>
      </c>
      <c r="O1153" s="8" t="s">
        <v>41</v>
      </c>
      <c r="P1153" s="6" t="s">
        <v>42</v>
      </c>
      <c r="Q1153" s="8" t="s">
        <v>43</v>
      </c>
      <c r="R1153" s="10" t="s">
        <v>6290</v>
      </c>
      <c r="S1153" s="11"/>
      <c r="T1153" s="6"/>
      <c r="U1153" s="28" t="str">
        <f>HYPERLINK("https://media.infra-m.ru/2044/2044345/cover/2044345.jpg", "Обложка")</f>
        <v>Обложка</v>
      </c>
      <c r="V1153" s="28" t="str">
        <f>HYPERLINK("https://znanium.ru/catalog/product/1081878", "Ознакомиться")</f>
        <v>Ознакомиться</v>
      </c>
      <c r="W1153" s="8" t="s">
        <v>743</v>
      </c>
      <c r="X1153" s="6"/>
      <c r="Y1153" s="6"/>
      <c r="Z1153" s="6"/>
      <c r="AA1153" s="6" t="s">
        <v>424</v>
      </c>
    </row>
    <row r="1154" spans="1:27" s="4" customFormat="1" ht="51.95" customHeight="1">
      <c r="A1154" s="5">
        <v>0</v>
      </c>
      <c r="B1154" s="6" t="s">
        <v>6291</v>
      </c>
      <c r="C1154" s="7">
        <v>2076</v>
      </c>
      <c r="D1154" s="8" t="s">
        <v>6292</v>
      </c>
      <c r="E1154" s="8" t="s">
        <v>6293</v>
      </c>
      <c r="F1154" s="8" t="s">
        <v>6294</v>
      </c>
      <c r="G1154" s="6" t="s">
        <v>37</v>
      </c>
      <c r="H1154" s="6" t="s">
        <v>410</v>
      </c>
      <c r="I1154" s="8"/>
      <c r="J1154" s="9">
        <v>1</v>
      </c>
      <c r="K1154" s="9">
        <v>368</v>
      </c>
      <c r="L1154" s="9">
        <v>2024</v>
      </c>
      <c r="M1154" s="8" t="s">
        <v>6295</v>
      </c>
      <c r="N1154" s="8" t="s">
        <v>40</v>
      </c>
      <c r="O1154" s="8" t="s">
        <v>41</v>
      </c>
      <c r="P1154" s="6" t="s">
        <v>141</v>
      </c>
      <c r="Q1154" s="8" t="s">
        <v>157</v>
      </c>
      <c r="R1154" s="10" t="s">
        <v>1936</v>
      </c>
      <c r="S1154" s="11"/>
      <c r="T1154" s="6"/>
      <c r="U1154" s="28" t="str">
        <f>HYPERLINK("https://media.infra-m.ru/2143/2143254/cover/2143254.jpg", "Обложка")</f>
        <v>Обложка</v>
      </c>
      <c r="V1154" s="28" t="str">
        <f>HYPERLINK("https://znanium.ru/catalog/product/2143254", "Ознакомиться")</f>
        <v>Ознакомиться</v>
      </c>
      <c r="W1154" s="8" t="s">
        <v>423</v>
      </c>
      <c r="X1154" s="6"/>
      <c r="Y1154" s="6"/>
      <c r="Z1154" s="6"/>
      <c r="AA1154" s="6" t="s">
        <v>88</v>
      </c>
    </row>
    <row r="1155" spans="1:27" s="4" customFormat="1" ht="42" customHeight="1">
      <c r="A1155" s="5">
        <v>0</v>
      </c>
      <c r="B1155" s="6" t="s">
        <v>6296</v>
      </c>
      <c r="C1155" s="7">
        <v>1008</v>
      </c>
      <c r="D1155" s="8" t="s">
        <v>6297</v>
      </c>
      <c r="E1155" s="8" t="s">
        <v>6298</v>
      </c>
      <c r="F1155" s="8" t="s">
        <v>2375</v>
      </c>
      <c r="G1155" s="6" t="s">
        <v>37</v>
      </c>
      <c r="H1155" s="6" t="s">
        <v>38</v>
      </c>
      <c r="I1155" s="8"/>
      <c r="J1155" s="9">
        <v>1</v>
      </c>
      <c r="K1155" s="9">
        <v>152</v>
      </c>
      <c r="L1155" s="9">
        <v>2023</v>
      </c>
      <c r="M1155" s="8" t="s">
        <v>6299</v>
      </c>
      <c r="N1155" s="8" t="s">
        <v>40</v>
      </c>
      <c r="O1155" s="8" t="s">
        <v>41</v>
      </c>
      <c r="P1155" s="6" t="s">
        <v>42</v>
      </c>
      <c r="Q1155" s="8" t="s">
        <v>43</v>
      </c>
      <c r="R1155" s="10" t="s">
        <v>69</v>
      </c>
      <c r="S1155" s="11"/>
      <c r="T1155" s="6"/>
      <c r="U1155" s="28" t="str">
        <f>HYPERLINK("https://media.infra-m.ru/1984/1984939/cover/1984939.jpg", "Обложка")</f>
        <v>Обложка</v>
      </c>
      <c r="V1155" s="28" t="str">
        <f>HYPERLINK("https://znanium.ru/catalog/product/1984939", "Ознакомиться")</f>
        <v>Ознакомиться</v>
      </c>
      <c r="W1155" s="8" t="s">
        <v>568</v>
      </c>
      <c r="X1155" s="6"/>
      <c r="Y1155" s="6"/>
      <c r="Z1155" s="6"/>
      <c r="AA1155" s="6" t="s">
        <v>353</v>
      </c>
    </row>
    <row r="1156" spans="1:27" s="4" customFormat="1" ht="51.95" customHeight="1">
      <c r="A1156" s="5">
        <v>0</v>
      </c>
      <c r="B1156" s="6" t="s">
        <v>6300</v>
      </c>
      <c r="C1156" s="7">
        <v>2350.8000000000002</v>
      </c>
      <c r="D1156" s="8" t="s">
        <v>6301</v>
      </c>
      <c r="E1156" s="8" t="s">
        <v>6302</v>
      </c>
      <c r="F1156" s="8" t="s">
        <v>6303</v>
      </c>
      <c r="G1156" s="6" t="s">
        <v>37</v>
      </c>
      <c r="H1156" s="6" t="s">
        <v>84</v>
      </c>
      <c r="I1156" s="8" t="s">
        <v>250</v>
      </c>
      <c r="J1156" s="9">
        <v>1</v>
      </c>
      <c r="K1156" s="9">
        <v>220</v>
      </c>
      <c r="L1156" s="9">
        <v>2024</v>
      </c>
      <c r="M1156" s="8" t="s">
        <v>6304</v>
      </c>
      <c r="N1156" s="8" t="s">
        <v>40</v>
      </c>
      <c r="O1156" s="8" t="s">
        <v>41</v>
      </c>
      <c r="P1156" s="6" t="s">
        <v>42</v>
      </c>
      <c r="Q1156" s="8" t="s">
        <v>43</v>
      </c>
      <c r="R1156" s="10" t="s">
        <v>6305</v>
      </c>
      <c r="S1156" s="11"/>
      <c r="T1156" s="6"/>
      <c r="U1156" s="28" t="str">
        <f>HYPERLINK("https://media.infra-m.ru/2132/2132049/cover/2132049.jpg", "Обложка")</f>
        <v>Обложка</v>
      </c>
      <c r="V1156" s="28" t="str">
        <f>HYPERLINK("https://znanium.ru/catalog/product/2132049", "Ознакомиться")</f>
        <v>Ознакомиться</v>
      </c>
      <c r="W1156" s="8" t="s">
        <v>723</v>
      </c>
      <c r="X1156" s="6"/>
      <c r="Y1156" s="6"/>
      <c r="Z1156" s="6"/>
      <c r="AA1156" s="6" t="s">
        <v>417</v>
      </c>
    </row>
    <row r="1157" spans="1:27" s="4" customFormat="1" ht="42" customHeight="1">
      <c r="A1157" s="5">
        <v>0</v>
      </c>
      <c r="B1157" s="6" t="s">
        <v>6306</v>
      </c>
      <c r="C1157" s="13">
        <v>504</v>
      </c>
      <c r="D1157" s="8" t="s">
        <v>6307</v>
      </c>
      <c r="E1157" s="8" t="s">
        <v>6308</v>
      </c>
      <c r="F1157" s="8" t="s">
        <v>6309</v>
      </c>
      <c r="G1157" s="6" t="s">
        <v>51</v>
      </c>
      <c r="H1157" s="6" t="s">
        <v>84</v>
      </c>
      <c r="I1157" s="8" t="s">
        <v>250</v>
      </c>
      <c r="J1157" s="9">
        <v>1</v>
      </c>
      <c r="K1157" s="9">
        <v>140</v>
      </c>
      <c r="L1157" s="9">
        <v>2019</v>
      </c>
      <c r="M1157" s="8" t="s">
        <v>6310</v>
      </c>
      <c r="N1157" s="8" t="s">
        <v>40</v>
      </c>
      <c r="O1157" s="8" t="s">
        <v>41</v>
      </c>
      <c r="P1157" s="6" t="s">
        <v>299</v>
      </c>
      <c r="Q1157" s="8" t="s">
        <v>43</v>
      </c>
      <c r="R1157" s="10" t="s">
        <v>350</v>
      </c>
      <c r="S1157" s="11"/>
      <c r="T1157" s="6"/>
      <c r="U1157" s="28" t="str">
        <f>HYPERLINK("https://media.infra-m.ru/0989/0989975/cover/989975.jpg", "Обложка")</f>
        <v>Обложка</v>
      </c>
      <c r="V1157" s="28" t="str">
        <f>HYPERLINK("https://znanium.ru/catalog/product/989975", "Ознакомиться")</f>
        <v>Ознакомиться</v>
      </c>
      <c r="W1157" s="8" t="s">
        <v>236</v>
      </c>
      <c r="X1157" s="6"/>
      <c r="Y1157" s="6"/>
      <c r="Z1157" s="6"/>
      <c r="AA1157" s="6" t="s">
        <v>46</v>
      </c>
    </row>
    <row r="1158" spans="1:27" s="4" customFormat="1" ht="51.95" customHeight="1">
      <c r="A1158" s="5">
        <v>0</v>
      </c>
      <c r="B1158" s="6" t="s">
        <v>6311</v>
      </c>
      <c r="C1158" s="7">
        <v>2352</v>
      </c>
      <c r="D1158" s="8" t="s">
        <v>6312</v>
      </c>
      <c r="E1158" s="8" t="s">
        <v>6313</v>
      </c>
      <c r="F1158" s="8" t="s">
        <v>6314</v>
      </c>
      <c r="G1158" s="6" t="s">
        <v>58</v>
      </c>
      <c r="H1158" s="6" t="s">
        <v>38</v>
      </c>
      <c r="I1158" s="8"/>
      <c r="J1158" s="9">
        <v>1</v>
      </c>
      <c r="K1158" s="9">
        <v>416</v>
      </c>
      <c r="L1158" s="9">
        <v>2024</v>
      </c>
      <c r="M1158" s="8" t="s">
        <v>6315</v>
      </c>
      <c r="N1158" s="8" t="s">
        <v>40</v>
      </c>
      <c r="O1158" s="8" t="s">
        <v>41</v>
      </c>
      <c r="P1158" s="6" t="s">
        <v>42</v>
      </c>
      <c r="Q1158" s="8" t="s">
        <v>43</v>
      </c>
      <c r="R1158" s="10" t="s">
        <v>60</v>
      </c>
      <c r="S1158" s="11"/>
      <c r="T1158" s="6"/>
      <c r="U1158" s="28" t="str">
        <f>HYPERLINK("https://media.infra-m.ru/2139/2139778/cover/2139778.jpg", "Обложка")</f>
        <v>Обложка</v>
      </c>
      <c r="V1158" s="28" t="str">
        <f>HYPERLINK("https://znanium.ru/catalog/product/2117082", "Ознакомиться")</f>
        <v>Ознакомиться</v>
      </c>
      <c r="W1158" s="8" t="s">
        <v>45</v>
      </c>
      <c r="X1158" s="6"/>
      <c r="Y1158" s="6"/>
      <c r="Z1158" s="6"/>
      <c r="AA1158" s="6" t="s">
        <v>100</v>
      </c>
    </row>
    <row r="1159" spans="1:27" s="4" customFormat="1" ht="42" customHeight="1">
      <c r="A1159" s="5">
        <v>0</v>
      </c>
      <c r="B1159" s="6" t="s">
        <v>6316</v>
      </c>
      <c r="C1159" s="13">
        <v>677.9</v>
      </c>
      <c r="D1159" s="8" t="s">
        <v>6317</v>
      </c>
      <c r="E1159" s="8" t="s">
        <v>6318</v>
      </c>
      <c r="F1159" s="8" t="s">
        <v>6319</v>
      </c>
      <c r="G1159" s="6" t="s">
        <v>51</v>
      </c>
      <c r="H1159" s="6" t="s">
        <v>52</v>
      </c>
      <c r="I1159" s="8" t="s">
        <v>250</v>
      </c>
      <c r="J1159" s="9">
        <v>1</v>
      </c>
      <c r="K1159" s="9">
        <v>181</v>
      </c>
      <c r="L1159" s="9">
        <v>2018</v>
      </c>
      <c r="M1159" s="8" t="s">
        <v>6320</v>
      </c>
      <c r="N1159" s="8" t="s">
        <v>40</v>
      </c>
      <c r="O1159" s="8" t="s">
        <v>41</v>
      </c>
      <c r="P1159" s="6" t="s">
        <v>42</v>
      </c>
      <c r="Q1159" s="8" t="s">
        <v>43</v>
      </c>
      <c r="R1159" s="10" t="s">
        <v>308</v>
      </c>
      <c r="S1159" s="11"/>
      <c r="T1159" s="6"/>
      <c r="U1159" s="28" t="str">
        <f>HYPERLINK("https://media.infra-m.ru/0935/0935383/cover/935383.jpg", "Обложка")</f>
        <v>Обложка</v>
      </c>
      <c r="V1159" s="28" t="str">
        <f>HYPERLINK("https://znanium.ru/catalog/product/935383", "Ознакомиться")</f>
        <v>Ознакомиться</v>
      </c>
      <c r="W1159" s="8" t="s">
        <v>723</v>
      </c>
      <c r="X1159" s="6"/>
      <c r="Y1159" s="6"/>
      <c r="Z1159" s="6"/>
      <c r="AA1159" s="6" t="s">
        <v>655</v>
      </c>
    </row>
    <row r="1160" spans="1:27" s="4" customFormat="1" ht="42" customHeight="1">
      <c r="A1160" s="5">
        <v>0</v>
      </c>
      <c r="B1160" s="6" t="s">
        <v>6321</v>
      </c>
      <c r="C1160" s="7">
        <v>1020</v>
      </c>
      <c r="D1160" s="8" t="s">
        <v>6322</v>
      </c>
      <c r="E1160" s="8" t="s">
        <v>6323</v>
      </c>
      <c r="F1160" s="8" t="s">
        <v>6324</v>
      </c>
      <c r="G1160" s="6" t="s">
        <v>37</v>
      </c>
      <c r="H1160" s="6" t="s">
        <v>38</v>
      </c>
      <c r="I1160" s="8"/>
      <c r="J1160" s="9">
        <v>1</v>
      </c>
      <c r="K1160" s="9">
        <v>184</v>
      </c>
      <c r="L1160" s="9">
        <v>2024</v>
      </c>
      <c r="M1160" s="8" t="s">
        <v>6325</v>
      </c>
      <c r="N1160" s="8" t="s">
        <v>40</v>
      </c>
      <c r="O1160" s="8" t="s">
        <v>41</v>
      </c>
      <c r="P1160" s="6" t="s">
        <v>841</v>
      </c>
      <c r="Q1160" s="8" t="s">
        <v>43</v>
      </c>
      <c r="R1160" s="10" t="s">
        <v>69</v>
      </c>
      <c r="S1160" s="11"/>
      <c r="T1160" s="6"/>
      <c r="U1160" s="28" t="str">
        <f>HYPERLINK("https://media.infra-m.ru/2098/2098500/cover/2098500.jpg", "Обложка")</f>
        <v>Обложка</v>
      </c>
      <c r="V1160" s="28" t="str">
        <f>HYPERLINK("https://znanium.ru/catalog/product/2098500", "Ознакомиться")</f>
        <v>Ознакомиться</v>
      </c>
      <c r="W1160" s="8" t="s">
        <v>45</v>
      </c>
      <c r="X1160" s="6"/>
      <c r="Y1160" s="6"/>
      <c r="Z1160" s="6"/>
      <c r="AA1160" s="6" t="s">
        <v>115</v>
      </c>
    </row>
    <row r="1161" spans="1:27" s="4" customFormat="1" ht="33" customHeight="1">
      <c r="A1161" s="5">
        <v>0</v>
      </c>
      <c r="B1161" s="6" t="s">
        <v>6326</v>
      </c>
      <c r="C1161" s="13">
        <v>659.9</v>
      </c>
      <c r="D1161" s="8" t="s">
        <v>6327</v>
      </c>
      <c r="E1161" s="8" t="s">
        <v>6328</v>
      </c>
      <c r="F1161" s="8" t="s">
        <v>57</v>
      </c>
      <c r="G1161" s="6" t="s">
        <v>58</v>
      </c>
      <c r="H1161" s="6" t="s">
        <v>38</v>
      </c>
      <c r="I1161" s="8"/>
      <c r="J1161" s="9">
        <v>1</v>
      </c>
      <c r="K1161" s="9">
        <v>480</v>
      </c>
      <c r="L1161" s="9">
        <v>2016</v>
      </c>
      <c r="M1161" s="8" t="s">
        <v>6329</v>
      </c>
      <c r="N1161" s="8" t="s">
        <v>40</v>
      </c>
      <c r="O1161" s="8" t="s">
        <v>41</v>
      </c>
      <c r="P1161" s="6" t="s">
        <v>6330</v>
      </c>
      <c r="Q1161" s="8" t="s">
        <v>43</v>
      </c>
      <c r="R1161" s="10"/>
      <c r="S1161" s="11"/>
      <c r="T1161" s="6"/>
      <c r="U1161" s="12"/>
      <c r="V1161" s="12"/>
      <c r="W1161" s="8" t="s">
        <v>61</v>
      </c>
      <c r="X1161" s="6"/>
      <c r="Y1161" s="6"/>
      <c r="Z1161" s="6"/>
      <c r="AA1161" s="6" t="s">
        <v>431</v>
      </c>
    </row>
    <row r="1162" spans="1:27" s="4" customFormat="1" ht="42" customHeight="1">
      <c r="A1162" s="5">
        <v>0</v>
      </c>
      <c r="B1162" s="6" t="s">
        <v>6331</v>
      </c>
      <c r="C1162" s="7">
        <v>1404</v>
      </c>
      <c r="D1162" s="8" t="s">
        <v>6332</v>
      </c>
      <c r="E1162" s="8" t="s">
        <v>6333</v>
      </c>
      <c r="F1162" s="8" t="s">
        <v>6334</v>
      </c>
      <c r="G1162" s="6" t="s">
        <v>58</v>
      </c>
      <c r="H1162" s="6" t="s">
        <v>38</v>
      </c>
      <c r="I1162" s="8"/>
      <c r="J1162" s="9">
        <v>1</v>
      </c>
      <c r="K1162" s="9">
        <v>448</v>
      </c>
      <c r="L1162" s="9">
        <v>2018</v>
      </c>
      <c r="M1162" s="8" t="s">
        <v>6335</v>
      </c>
      <c r="N1162" s="8" t="s">
        <v>40</v>
      </c>
      <c r="O1162" s="8" t="s">
        <v>41</v>
      </c>
      <c r="P1162" s="6" t="s">
        <v>42</v>
      </c>
      <c r="Q1162" s="8" t="s">
        <v>43</v>
      </c>
      <c r="R1162" s="10" t="s">
        <v>932</v>
      </c>
      <c r="S1162" s="11"/>
      <c r="T1162" s="6"/>
      <c r="U1162" s="28" t="str">
        <f>HYPERLINK("https://media.infra-m.ru/0949/0949363/cover/949363.jpg", "Обложка")</f>
        <v>Обложка</v>
      </c>
      <c r="V1162" s="28" t="str">
        <f>HYPERLINK("https://znanium.ru/catalog/product/949363", "Ознакомиться")</f>
        <v>Ознакомиться</v>
      </c>
      <c r="W1162" s="8" t="s">
        <v>114</v>
      </c>
      <c r="X1162" s="6"/>
      <c r="Y1162" s="6"/>
      <c r="Z1162" s="6"/>
      <c r="AA1162" s="6" t="s">
        <v>148</v>
      </c>
    </row>
    <row r="1163" spans="1:27" s="4" customFormat="1" ht="42" customHeight="1">
      <c r="A1163" s="5">
        <v>0</v>
      </c>
      <c r="B1163" s="6" t="s">
        <v>6336</v>
      </c>
      <c r="C1163" s="7">
        <v>1044</v>
      </c>
      <c r="D1163" s="8" t="s">
        <v>6337</v>
      </c>
      <c r="E1163" s="8" t="s">
        <v>6338</v>
      </c>
      <c r="F1163" s="8" t="s">
        <v>1359</v>
      </c>
      <c r="G1163" s="6" t="s">
        <v>37</v>
      </c>
      <c r="H1163" s="6" t="s">
        <v>38</v>
      </c>
      <c r="I1163" s="8"/>
      <c r="J1163" s="9">
        <v>1</v>
      </c>
      <c r="K1163" s="9">
        <v>208</v>
      </c>
      <c r="L1163" s="9">
        <v>2022</v>
      </c>
      <c r="M1163" s="8" t="s">
        <v>6339</v>
      </c>
      <c r="N1163" s="8" t="s">
        <v>40</v>
      </c>
      <c r="O1163" s="8" t="s">
        <v>41</v>
      </c>
      <c r="P1163" s="6" t="s">
        <v>42</v>
      </c>
      <c r="Q1163" s="8" t="s">
        <v>43</v>
      </c>
      <c r="R1163" s="10" t="s">
        <v>806</v>
      </c>
      <c r="S1163" s="11"/>
      <c r="T1163" s="6"/>
      <c r="U1163" s="28" t="str">
        <f>HYPERLINK("https://media.infra-m.ru/1875/1875434/cover/1875434.jpg", "Обложка")</f>
        <v>Обложка</v>
      </c>
      <c r="V1163" s="28" t="str">
        <f>HYPERLINK("https://znanium.ru/catalog/product/1875434", "Ознакомиться")</f>
        <v>Ознакомиться</v>
      </c>
      <c r="W1163" s="8" t="s">
        <v>743</v>
      </c>
      <c r="X1163" s="6"/>
      <c r="Y1163" s="6"/>
      <c r="Z1163" s="6"/>
      <c r="AA1163" s="6" t="s">
        <v>88</v>
      </c>
    </row>
    <row r="1164" spans="1:27" s="4" customFormat="1" ht="42" customHeight="1">
      <c r="A1164" s="5">
        <v>0</v>
      </c>
      <c r="B1164" s="6" t="s">
        <v>6340</v>
      </c>
      <c r="C1164" s="7">
        <v>1624.8</v>
      </c>
      <c r="D1164" s="8" t="s">
        <v>6341</v>
      </c>
      <c r="E1164" s="8" t="s">
        <v>6342</v>
      </c>
      <c r="F1164" s="8" t="s">
        <v>6343</v>
      </c>
      <c r="G1164" s="6" t="s">
        <v>58</v>
      </c>
      <c r="H1164" s="6" t="s">
        <v>38</v>
      </c>
      <c r="I1164" s="8"/>
      <c r="J1164" s="9">
        <v>1</v>
      </c>
      <c r="K1164" s="9">
        <v>288</v>
      </c>
      <c r="L1164" s="9">
        <v>2024</v>
      </c>
      <c r="M1164" s="8" t="s">
        <v>6344</v>
      </c>
      <c r="N1164" s="8" t="s">
        <v>40</v>
      </c>
      <c r="O1164" s="8" t="s">
        <v>41</v>
      </c>
      <c r="P1164" s="6" t="s">
        <v>42</v>
      </c>
      <c r="Q1164" s="8" t="s">
        <v>43</v>
      </c>
      <c r="R1164" s="10" t="s">
        <v>69</v>
      </c>
      <c r="S1164" s="11"/>
      <c r="T1164" s="6"/>
      <c r="U1164" s="28" t="str">
        <f>HYPERLINK("https://media.infra-m.ru/2123/2123405/cover/2123405.jpg", "Обложка")</f>
        <v>Обложка</v>
      </c>
      <c r="V1164" s="28" t="str">
        <f>HYPERLINK("https://znanium.ru/catalog/product/1867905", "Ознакомиться")</f>
        <v>Ознакомиться</v>
      </c>
      <c r="W1164" s="8" t="s">
        <v>6345</v>
      </c>
      <c r="X1164" s="6"/>
      <c r="Y1164" s="6"/>
      <c r="Z1164" s="6"/>
      <c r="AA1164" s="6" t="s">
        <v>353</v>
      </c>
    </row>
    <row r="1165" spans="1:27" s="4" customFormat="1" ht="51.95" customHeight="1">
      <c r="A1165" s="5">
        <v>0</v>
      </c>
      <c r="B1165" s="6" t="s">
        <v>6346</v>
      </c>
      <c r="C1165" s="7">
        <v>1128</v>
      </c>
      <c r="D1165" s="8" t="s">
        <v>6347</v>
      </c>
      <c r="E1165" s="8" t="s">
        <v>6348</v>
      </c>
      <c r="F1165" s="8" t="s">
        <v>6343</v>
      </c>
      <c r="G1165" s="6" t="s">
        <v>37</v>
      </c>
      <c r="H1165" s="6" t="s">
        <v>38</v>
      </c>
      <c r="I1165" s="8"/>
      <c r="J1165" s="9">
        <v>1</v>
      </c>
      <c r="K1165" s="9">
        <v>240</v>
      </c>
      <c r="L1165" s="9">
        <v>2022</v>
      </c>
      <c r="M1165" s="8" t="s">
        <v>6349</v>
      </c>
      <c r="N1165" s="8" t="s">
        <v>40</v>
      </c>
      <c r="O1165" s="8" t="s">
        <v>41</v>
      </c>
      <c r="P1165" s="6" t="s">
        <v>42</v>
      </c>
      <c r="Q1165" s="8" t="s">
        <v>157</v>
      </c>
      <c r="R1165" s="10" t="s">
        <v>122</v>
      </c>
      <c r="S1165" s="11"/>
      <c r="T1165" s="6"/>
      <c r="U1165" s="28" t="str">
        <f>HYPERLINK("https://media.infra-m.ru/1816/1816676/cover/1816676.jpg", "Обложка")</f>
        <v>Обложка</v>
      </c>
      <c r="V1165" s="28" t="str">
        <f>HYPERLINK("https://znanium.ru/catalog/product/1816676", "Ознакомиться")</f>
        <v>Ознакомиться</v>
      </c>
      <c r="W1165" s="8" t="s">
        <v>6345</v>
      </c>
      <c r="X1165" s="6"/>
      <c r="Y1165" s="6"/>
      <c r="Z1165" s="6"/>
      <c r="AA1165" s="6" t="s">
        <v>79</v>
      </c>
    </row>
    <row r="1166" spans="1:27" s="4" customFormat="1" ht="42" customHeight="1">
      <c r="A1166" s="5">
        <v>0</v>
      </c>
      <c r="B1166" s="6" t="s">
        <v>6350</v>
      </c>
      <c r="C1166" s="13">
        <v>912</v>
      </c>
      <c r="D1166" s="8" t="s">
        <v>6351</v>
      </c>
      <c r="E1166" s="8" t="s">
        <v>6352</v>
      </c>
      <c r="F1166" s="8" t="s">
        <v>6353</v>
      </c>
      <c r="G1166" s="6" t="s">
        <v>37</v>
      </c>
      <c r="H1166" s="6" t="s">
        <v>84</v>
      </c>
      <c r="I1166" s="8" t="s">
        <v>250</v>
      </c>
      <c r="J1166" s="9">
        <v>1</v>
      </c>
      <c r="K1166" s="9">
        <v>183</v>
      </c>
      <c r="L1166" s="9">
        <v>2022</v>
      </c>
      <c r="M1166" s="8" t="s">
        <v>6354</v>
      </c>
      <c r="N1166" s="8" t="s">
        <v>40</v>
      </c>
      <c r="O1166" s="8" t="s">
        <v>41</v>
      </c>
      <c r="P1166" s="6" t="s">
        <v>42</v>
      </c>
      <c r="Q1166" s="8" t="s">
        <v>43</v>
      </c>
      <c r="R1166" s="10" t="s">
        <v>3725</v>
      </c>
      <c r="S1166" s="11"/>
      <c r="T1166" s="6"/>
      <c r="U1166" s="28" t="str">
        <f>HYPERLINK("https://media.infra-m.ru/1836/1836398/cover/1836398.jpg", "Обложка")</f>
        <v>Обложка</v>
      </c>
      <c r="V1166" s="28" t="str">
        <f>HYPERLINK("https://znanium.ru/catalog/product/1836398", "Ознакомиться")</f>
        <v>Ознакомиться</v>
      </c>
      <c r="W1166" s="8" t="s">
        <v>6355</v>
      </c>
      <c r="X1166" s="6"/>
      <c r="Y1166" s="6"/>
      <c r="Z1166" s="6"/>
      <c r="AA1166" s="6" t="s">
        <v>62</v>
      </c>
    </row>
    <row r="1167" spans="1:27" s="4" customFormat="1" ht="51.95" customHeight="1">
      <c r="A1167" s="5">
        <v>0</v>
      </c>
      <c r="B1167" s="6" t="s">
        <v>6356</v>
      </c>
      <c r="C1167" s="7">
        <v>3000</v>
      </c>
      <c r="D1167" s="8" t="s">
        <v>6357</v>
      </c>
      <c r="E1167" s="8" t="s">
        <v>6358</v>
      </c>
      <c r="F1167" s="8" t="s">
        <v>3184</v>
      </c>
      <c r="G1167" s="6" t="s">
        <v>37</v>
      </c>
      <c r="H1167" s="6" t="s">
        <v>38</v>
      </c>
      <c r="I1167" s="8"/>
      <c r="J1167" s="9">
        <v>1</v>
      </c>
      <c r="K1167" s="9">
        <v>800</v>
      </c>
      <c r="L1167" s="9">
        <v>2023</v>
      </c>
      <c r="M1167" s="8" t="s">
        <v>6359</v>
      </c>
      <c r="N1167" s="8" t="s">
        <v>40</v>
      </c>
      <c r="O1167" s="8" t="s">
        <v>41</v>
      </c>
      <c r="P1167" s="6" t="s">
        <v>42</v>
      </c>
      <c r="Q1167" s="8" t="s">
        <v>43</v>
      </c>
      <c r="R1167" s="10" t="s">
        <v>6360</v>
      </c>
      <c r="S1167" s="11"/>
      <c r="T1167" s="6"/>
      <c r="U1167" s="28" t="str">
        <f>HYPERLINK("https://media.infra-m.ru/1893/1893874/cover/1893874.jpg", "Обложка")</f>
        <v>Обложка</v>
      </c>
      <c r="V1167" s="28" t="str">
        <f>HYPERLINK("https://znanium.ru/catalog/product/1893874", "Ознакомиться")</f>
        <v>Ознакомиться</v>
      </c>
      <c r="W1167" s="8" t="s">
        <v>194</v>
      </c>
      <c r="X1167" s="6"/>
      <c r="Y1167" s="6"/>
      <c r="Z1167" s="6"/>
      <c r="AA1167" s="6" t="s">
        <v>315</v>
      </c>
    </row>
    <row r="1168" spans="1:27" s="4" customFormat="1" ht="42" customHeight="1">
      <c r="A1168" s="5">
        <v>0</v>
      </c>
      <c r="B1168" s="6" t="s">
        <v>6361</v>
      </c>
      <c r="C1168" s="7">
        <v>1036.8</v>
      </c>
      <c r="D1168" s="8" t="s">
        <v>6362</v>
      </c>
      <c r="E1168" s="8" t="s">
        <v>6363</v>
      </c>
      <c r="F1168" s="8" t="s">
        <v>6364</v>
      </c>
      <c r="G1168" s="6" t="s">
        <v>51</v>
      </c>
      <c r="H1168" s="6" t="s">
        <v>52</v>
      </c>
      <c r="I1168" s="8" t="s">
        <v>250</v>
      </c>
      <c r="J1168" s="9">
        <v>1</v>
      </c>
      <c r="K1168" s="9">
        <v>187</v>
      </c>
      <c r="L1168" s="9">
        <v>2024</v>
      </c>
      <c r="M1168" s="8" t="s">
        <v>6365</v>
      </c>
      <c r="N1168" s="8" t="s">
        <v>40</v>
      </c>
      <c r="O1168" s="8" t="s">
        <v>41</v>
      </c>
      <c r="P1168" s="6" t="s">
        <v>42</v>
      </c>
      <c r="Q1168" s="8" t="s">
        <v>43</v>
      </c>
      <c r="R1168" s="10" t="s">
        <v>314</v>
      </c>
      <c r="S1168" s="11"/>
      <c r="T1168" s="6"/>
      <c r="U1168" s="28" t="str">
        <f>HYPERLINK("https://media.infra-m.ru/1895/1895626/cover/1895626.jpg", "Обложка")</f>
        <v>Обложка</v>
      </c>
      <c r="V1168" s="28" t="str">
        <f>HYPERLINK("https://znanium.ru/catalog/product/1210238", "Ознакомиться")</f>
        <v>Ознакомиться</v>
      </c>
      <c r="W1168" s="8" t="s">
        <v>236</v>
      </c>
      <c r="X1168" s="6"/>
      <c r="Y1168" s="6"/>
      <c r="Z1168" s="6"/>
      <c r="AA1168" s="6" t="s">
        <v>148</v>
      </c>
    </row>
    <row r="1169" spans="1:27" s="4" customFormat="1" ht="51.95" customHeight="1">
      <c r="A1169" s="5">
        <v>0</v>
      </c>
      <c r="B1169" s="6" t="s">
        <v>6366</v>
      </c>
      <c r="C1169" s="7">
        <v>2208</v>
      </c>
      <c r="D1169" s="8" t="s">
        <v>6367</v>
      </c>
      <c r="E1169" s="8" t="s">
        <v>6368</v>
      </c>
      <c r="F1169" s="8" t="s">
        <v>6369</v>
      </c>
      <c r="G1169" s="6" t="s">
        <v>37</v>
      </c>
      <c r="H1169" s="6" t="s">
        <v>38</v>
      </c>
      <c r="I1169" s="8"/>
      <c r="J1169" s="9">
        <v>1</v>
      </c>
      <c r="K1169" s="9">
        <v>400</v>
      </c>
      <c r="L1169" s="9">
        <v>2023</v>
      </c>
      <c r="M1169" s="8" t="s">
        <v>6370</v>
      </c>
      <c r="N1169" s="8" t="s">
        <v>40</v>
      </c>
      <c r="O1169" s="8" t="s">
        <v>41</v>
      </c>
      <c r="P1169" s="6" t="s">
        <v>95</v>
      </c>
      <c r="Q1169" s="8" t="s">
        <v>515</v>
      </c>
      <c r="R1169" s="10" t="s">
        <v>122</v>
      </c>
      <c r="S1169" s="11"/>
      <c r="T1169" s="6"/>
      <c r="U1169" s="28" t="str">
        <f>HYPERLINK("https://media.infra-m.ru/2129/2129570/cover/2129570.jpg", "Обложка")</f>
        <v>Обложка</v>
      </c>
      <c r="V1169" s="28" t="str">
        <f>HYPERLINK("https://znanium.ru/catalog/product/2129570", "Ознакомиться")</f>
        <v>Ознакомиться</v>
      </c>
      <c r="W1169" s="8" t="s">
        <v>114</v>
      </c>
      <c r="X1169" s="6"/>
      <c r="Y1169" s="6"/>
      <c r="Z1169" s="6"/>
      <c r="AA1169" s="6" t="s">
        <v>62</v>
      </c>
    </row>
    <row r="1170" spans="1:27" s="4" customFormat="1" ht="51.95" customHeight="1">
      <c r="A1170" s="5">
        <v>0</v>
      </c>
      <c r="B1170" s="6" t="s">
        <v>6371</v>
      </c>
      <c r="C1170" s="7">
        <v>1524</v>
      </c>
      <c r="D1170" s="8" t="s">
        <v>6372</v>
      </c>
      <c r="E1170" s="8" t="s">
        <v>6373</v>
      </c>
      <c r="F1170" s="8" t="s">
        <v>6374</v>
      </c>
      <c r="G1170" s="6" t="s">
        <v>51</v>
      </c>
      <c r="H1170" s="6" t="s">
        <v>410</v>
      </c>
      <c r="I1170" s="8" t="s">
        <v>1127</v>
      </c>
      <c r="J1170" s="9">
        <v>1</v>
      </c>
      <c r="K1170" s="9">
        <v>336</v>
      </c>
      <c r="L1170" s="9">
        <v>2023</v>
      </c>
      <c r="M1170" s="8" t="s">
        <v>6375</v>
      </c>
      <c r="N1170" s="8" t="s">
        <v>40</v>
      </c>
      <c r="O1170" s="8" t="s">
        <v>41</v>
      </c>
      <c r="P1170" s="6" t="s">
        <v>75</v>
      </c>
      <c r="Q1170" s="8" t="s">
        <v>76</v>
      </c>
      <c r="R1170" s="10" t="s">
        <v>6376</v>
      </c>
      <c r="S1170" s="11"/>
      <c r="T1170" s="6"/>
      <c r="U1170" s="28" t="str">
        <f>HYPERLINK("https://media.infra-m.ru/1937/1937942/cover/1937942.jpg", "Обложка")</f>
        <v>Обложка</v>
      </c>
      <c r="V1170" s="28" t="str">
        <f>HYPERLINK("https://znanium.ru/catalog/product/1937942", "Ознакомиться")</f>
        <v>Ознакомиться</v>
      </c>
      <c r="W1170" s="8" t="s">
        <v>78</v>
      </c>
      <c r="X1170" s="6"/>
      <c r="Y1170" s="6"/>
      <c r="Z1170" s="6"/>
      <c r="AA1170" s="6" t="s">
        <v>3069</v>
      </c>
    </row>
    <row r="1171" spans="1:27" s="4" customFormat="1" ht="42" customHeight="1">
      <c r="A1171" s="5">
        <v>0</v>
      </c>
      <c r="B1171" s="6" t="s">
        <v>6377</v>
      </c>
      <c r="C1171" s="7">
        <v>1908</v>
      </c>
      <c r="D1171" s="8" t="s">
        <v>6378</v>
      </c>
      <c r="E1171" s="8" t="s">
        <v>6379</v>
      </c>
      <c r="F1171" s="8" t="s">
        <v>6380</v>
      </c>
      <c r="G1171" s="6" t="s">
        <v>37</v>
      </c>
      <c r="H1171" s="6" t="s">
        <v>84</v>
      </c>
      <c r="I1171" s="8" t="s">
        <v>1173</v>
      </c>
      <c r="J1171" s="9">
        <v>1</v>
      </c>
      <c r="K1171" s="9">
        <v>337</v>
      </c>
      <c r="L1171" s="9">
        <v>2024</v>
      </c>
      <c r="M1171" s="8" t="s">
        <v>6381</v>
      </c>
      <c r="N1171" s="8" t="s">
        <v>40</v>
      </c>
      <c r="O1171" s="8" t="s">
        <v>41</v>
      </c>
      <c r="P1171" s="6" t="s">
        <v>75</v>
      </c>
      <c r="Q1171" s="8" t="s">
        <v>1231</v>
      </c>
      <c r="R1171" s="10" t="s">
        <v>330</v>
      </c>
      <c r="S1171" s="11"/>
      <c r="T1171" s="6"/>
      <c r="U1171" s="28" t="str">
        <f>HYPERLINK("https://media.infra-m.ru/2135/2135414/cover/2135414.jpg", "Обложка")</f>
        <v>Обложка</v>
      </c>
      <c r="V1171" s="28" t="str">
        <f>HYPERLINK("https://znanium.ru/catalog/product/2135414", "Ознакомиться")</f>
        <v>Ознакомиться</v>
      </c>
      <c r="W1171" s="8" t="s">
        <v>3406</v>
      </c>
      <c r="X1171" s="6"/>
      <c r="Y1171" s="6"/>
      <c r="Z1171" s="6"/>
      <c r="AA1171" s="6" t="s">
        <v>100</v>
      </c>
    </row>
    <row r="1172" spans="1:27" s="4" customFormat="1" ht="51.95" customHeight="1">
      <c r="A1172" s="5">
        <v>0</v>
      </c>
      <c r="B1172" s="6" t="s">
        <v>6382</v>
      </c>
      <c r="C1172" s="7">
        <v>1488</v>
      </c>
      <c r="D1172" s="8" t="s">
        <v>6383</v>
      </c>
      <c r="E1172" s="8" t="s">
        <v>6384</v>
      </c>
      <c r="F1172" s="8" t="s">
        <v>6385</v>
      </c>
      <c r="G1172" s="6" t="s">
        <v>37</v>
      </c>
      <c r="H1172" s="6" t="s">
        <v>84</v>
      </c>
      <c r="I1172" s="8" t="s">
        <v>250</v>
      </c>
      <c r="J1172" s="9">
        <v>1</v>
      </c>
      <c r="K1172" s="9">
        <v>325</v>
      </c>
      <c r="L1172" s="9">
        <v>2021</v>
      </c>
      <c r="M1172" s="8" t="s">
        <v>6386</v>
      </c>
      <c r="N1172" s="8" t="s">
        <v>40</v>
      </c>
      <c r="O1172" s="8" t="s">
        <v>41</v>
      </c>
      <c r="P1172" s="6" t="s">
        <v>42</v>
      </c>
      <c r="Q1172" s="8" t="s">
        <v>43</v>
      </c>
      <c r="R1172" s="10" t="s">
        <v>469</v>
      </c>
      <c r="S1172" s="11"/>
      <c r="T1172" s="6" t="s">
        <v>378</v>
      </c>
      <c r="U1172" s="28" t="str">
        <f>HYPERLINK("https://media.infra-m.ru/1575/1575285/cover/1575285.jpg", "Обложка")</f>
        <v>Обложка</v>
      </c>
      <c r="V1172" s="28" t="str">
        <f>HYPERLINK("https://znanium.ru/catalog/product/1575285", "Ознакомиться")</f>
        <v>Ознакомиться</v>
      </c>
      <c r="W1172" s="8" t="s">
        <v>1159</v>
      </c>
      <c r="X1172" s="6"/>
      <c r="Y1172" s="6"/>
      <c r="Z1172" s="6"/>
      <c r="AA1172" s="6" t="s">
        <v>557</v>
      </c>
    </row>
    <row r="1173" spans="1:27" s="4" customFormat="1" ht="51.95" customHeight="1">
      <c r="A1173" s="5">
        <v>0</v>
      </c>
      <c r="B1173" s="6" t="s">
        <v>6387</v>
      </c>
      <c r="C1173" s="13">
        <v>952.8</v>
      </c>
      <c r="D1173" s="8" t="s">
        <v>6388</v>
      </c>
      <c r="E1173" s="8" t="s">
        <v>6389</v>
      </c>
      <c r="F1173" s="8" t="s">
        <v>6390</v>
      </c>
      <c r="G1173" s="6" t="s">
        <v>51</v>
      </c>
      <c r="H1173" s="6" t="s">
        <v>38</v>
      </c>
      <c r="I1173" s="8"/>
      <c r="J1173" s="9">
        <v>1</v>
      </c>
      <c r="K1173" s="9">
        <v>176</v>
      </c>
      <c r="L1173" s="9">
        <v>2024</v>
      </c>
      <c r="M1173" s="8" t="s">
        <v>6391</v>
      </c>
      <c r="N1173" s="8" t="s">
        <v>40</v>
      </c>
      <c r="O1173" s="8" t="s">
        <v>41</v>
      </c>
      <c r="P1173" s="6" t="s">
        <v>42</v>
      </c>
      <c r="Q1173" s="8" t="s">
        <v>43</v>
      </c>
      <c r="R1173" s="10" t="s">
        <v>6008</v>
      </c>
      <c r="S1173" s="11"/>
      <c r="T1173" s="6"/>
      <c r="U1173" s="28" t="str">
        <f>HYPERLINK("https://media.infra-m.ru/1981/1981610/cover/1981610.jpg", "Обложка")</f>
        <v>Обложка</v>
      </c>
      <c r="V1173" s="28" t="str">
        <f>HYPERLINK("https://znanium.ru/catalog/product/1708654", "Ознакомиться")</f>
        <v>Ознакомиться</v>
      </c>
      <c r="W1173" s="8" t="s">
        <v>731</v>
      </c>
      <c r="X1173" s="6"/>
      <c r="Y1173" s="6"/>
      <c r="Z1173" s="6"/>
      <c r="AA1173" s="6" t="s">
        <v>431</v>
      </c>
    </row>
    <row r="1174" spans="1:27" s="4" customFormat="1" ht="42" customHeight="1">
      <c r="A1174" s="5">
        <v>0</v>
      </c>
      <c r="B1174" s="6" t="s">
        <v>6392</v>
      </c>
      <c r="C1174" s="7">
        <v>1836</v>
      </c>
      <c r="D1174" s="8" t="s">
        <v>6393</v>
      </c>
      <c r="E1174" s="8" t="s">
        <v>6394</v>
      </c>
      <c r="F1174" s="8" t="s">
        <v>6395</v>
      </c>
      <c r="G1174" s="6" t="s">
        <v>58</v>
      </c>
      <c r="H1174" s="6" t="s">
        <v>38</v>
      </c>
      <c r="I1174" s="8"/>
      <c r="J1174" s="9">
        <v>1</v>
      </c>
      <c r="K1174" s="9">
        <v>448</v>
      </c>
      <c r="L1174" s="9">
        <v>2020</v>
      </c>
      <c r="M1174" s="8" t="s">
        <v>6396</v>
      </c>
      <c r="N1174" s="8" t="s">
        <v>40</v>
      </c>
      <c r="O1174" s="8" t="s">
        <v>41</v>
      </c>
      <c r="P1174" s="6" t="s">
        <v>4050</v>
      </c>
      <c r="Q1174" s="8" t="s">
        <v>43</v>
      </c>
      <c r="R1174" s="10" t="s">
        <v>842</v>
      </c>
      <c r="S1174" s="11"/>
      <c r="T1174" s="6"/>
      <c r="U1174" s="28" t="str">
        <f>HYPERLINK("https://media.infra-m.ru/1064/1064992/cover/1064992.jpg", "Обложка")</f>
        <v>Обложка</v>
      </c>
      <c r="V1174" s="28" t="str">
        <f>HYPERLINK("https://znanium.ru/catalog/product/2114316", "Ознакомиться")</f>
        <v>Ознакомиться</v>
      </c>
      <c r="W1174" s="8" t="s">
        <v>124</v>
      </c>
      <c r="X1174" s="6"/>
      <c r="Y1174" s="6"/>
      <c r="Z1174" s="6"/>
      <c r="AA1174" s="6" t="s">
        <v>5772</v>
      </c>
    </row>
    <row r="1175" spans="1:27" s="4" customFormat="1" ht="42" customHeight="1">
      <c r="A1175" s="5">
        <v>0</v>
      </c>
      <c r="B1175" s="6" t="s">
        <v>6397</v>
      </c>
      <c r="C1175" s="7">
        <v>2680.8</v>
      </c>
      <c r="D1175" s="8" t="s">
        <v>6398</v>
      </c>
      <c r="E1175" s="8" t="s">
        <v>6399</v>
      </c>
      <c r="F1175" s="8" t="s">
        <v>6400</v>
      </c>
      <c r="G1175" s="6" t="s">
        <v>37</v>
      </c>
      <c r="H1175" s="6" t="s">
        <v>38</v>
      </c>
      <c r="I1175" s="8"/>
      <c r="J1175" s="9">
        <v>1</v>
      </c>
      <c r="K1175" s="9">
        <v>472</v>
      </c>
      <c r="L1175" s="9">
        <v>2024</v>
      </c>
      <c r="M1175" s="8" t="s">
        <v>6401</v>
      </c>
      <c r="N1175" s="8" t="s">
        <v>40</v>
      </c>
      <c r="O1175" s="8" t="s">
        <v>41</v>
      </c>
      <c r="P1175" s="6" t="s">
        <v>4050</v>
      </c>
      <c r="Q1175" s="8" t="s">
        <v>43</v>
      </c>
      <c r="R1175" s="10" t="s">
        <v>842</v>
      </c>
      <c r="S1175" s="11"/>
      <c r="T1175" s="6"/>
      <c r="U1175" s="28" t="str">
        <f>HYPERLINK("https://media.infra-m.ru/2139/2139973/cover/2139973.jpg", "Обложка")</f>
        <v>Обложка</v>
      </c>
      <c r="V1175" s="28" t="str">
        <f>HYPERLINK("https://znanium.ru/catalog/product/2114316", "Ознакомиться")</f>
        <v>Ознакомиться</v>
      </c>
      <c r="W1175" s="8"/>
      <c r="X1175" s="6"/>
      <c r="Y1175" s="6"/>
      <c r="Z1175" s="6"/>
      <c r="AA1175" s="6" t="s">
        <v>6402</v>
      </c>
    </row>
    <row r="1176" spans="1:27" s="4" customFormat="1" ht="51.95" customHeight="1">
      <c r="A1176" s="5">
        <v>0</v>
      </c>
      <c r="B1176" s="6" t="s">
        <v>6403</v>
      </c>
      <c r="C1176" s="13">
        <v>869.9</v>
      </c>
      <c r="D1176" s="8" t="s">
        <v>6404</v>
      </c>
      <c r="E1176" s="8" t="s">
        <v>6405</v>
      </c>
      <c r="F1176" s="8" t="s">
        <v>554</v>
      </c>
      <c r="G1176" s="6" t="s">
        <v>37</v>
      </c>
      <c r="H1176" s="6" t="s">
        <v>38</v>
      </c>
      <c r="I1176" s="8"/>
      <c r="J1176" s="9">
        <v>1</v>
      </c>
      <c r="K1176" s="9">
        <v>160</v>
      </c>
      <c r="L1176" s="9">
        <v>2023</v>
      </c>
      <c r="M1176" s="8" t="s">
        <v>6406</v>
      </c>
      <c r="N1176" s="8" t="s">
        <v>40</v>
      </c>
      <c r="O1176" s="8" t="s">
        <v>41</v>
      </c>
      <c r="P1176" s="6" t="s">
        <v>4050</v>
      </c>
      <c r="Q1176" s="8" t="s">
        <v>43</v>
      </c>
      <c r="R1176" s="10" t="s">
        <v>6407</v>
      </c>
      <c r="S1176" s="11"/>
      <c r="T1176" s="6"/>
      <c r="U1176" s="28" t="str">
        <f>HYPERLINK("https://media.infra-m.ru/2130/2130015/cover/2130015.jpg", "Обложка")</f>
        <v>Обложка</v>
      </c>
      <c r="V1176" s="28" t="str">
        <f>HYPERLINK("https://znanium.ru/catalog/product/1970294", "Ознакомиться")</f>
        <v>Ознакомиться</v>
      </c>
      <c r="W1176" s="8"/>
      <c r="X1176" s="6"/>
      <c r="Y1176" s="6"/>
      <c r="Z1176" s="6"/>
      <c r="AA1176" s="6" t="s">
        <v>769</v>
      </c>
    </row>
    <row r="1177" spans="1:27" s="4" customFormat="1" ht="51.95" customHeight="1">
      <c r="A1177" s="5">
        <v>0</v>
      </c>
      <c r="B1177" s="6" t="s">
        <v>6408</v>
      </c>
      <c r="C1177" s="13">
        <v>540</v>
      </c>
      <c r="D1177" s="8" t="s">
        <v>6409</v>
      </c>
      <c r="E1177" s="8" t="s">
        <v>6410</v>
      </c>
      <c r="F1177" s="8" t="s">
        <v>554</v>
      </c>
      <c r="G1177" s="6" t="s">
        <v>51</v>
      </c>
      <c r="H1177" s="6" t="s">
        <v>38</v>
      </c>
      <c r="I1177" s="8"/>
      <c r="J1177" s="9">
        <v>1</v>
      </c>
      <c r="K1177" s="9">
        <v>128</v>
      </c>
      <c r="L1177" s="9">
        <v>2019</v>
      </c>
      <c r="M1177" s="8" t="s">
        <v>6411</v>
      </c>
      <c r="N1177" s="8" t="s">
        <v>40</v>
      </c>
      <c r="O1177" s="8" t="s">
        <v>41</v>
      </c>
      <c r="P1177" s="6" t="s">
        <v>4050</v>
      </c>
      <c r="Q1177" s="8" t="s">
        <v>300</v>
      </c>
      <c r="R1177" s="10" t="s">
        <v>6407</v>
      </c>
      <c r="S1177" s="11"/>
      <c r="T1177" s="6"/>
      <c r="U1177" s="28" t="str">
        <f>HYPERLINK("https://media.infra-m.ru/1039/1039624/cover/1039624.jpg", "Обложка")</f>
        <v>Обложка</v>
      </c>
      <c r="V1177" s="28" t="str">
        <f>HYPERLINK("https://znanium.ru/catalog/product/1970294", "Ознакомиться")</f>
        <v>Ознакомиться</v>
      </c>
      <c r="W1177" s="8"/>
      <c r="X1177" s="6"/>
      <c r="Y1177" s="6"/>
      <c r="Z1177" s="6"/>
      <c r="AA1177" s="6" t="s">
        <v>88</v>
      </c>
    </row>
    <row r="1178" spans="1:27" s="4" customFormat="1" ht="44.1" customHeight="1">
      <c r="A1178" s="5">
        <v>0</v>
      </c>
      <c r="B1178" s="6" t="s">
        <v>6412</v>
      </c>
      <c r="C1178" s="7">
        <v>2592</v>
      </c>
      <c r="D1178" s="8" t="s">
        <v>6413</v>
      </c>
      <c r="E1178" s="8" t="s">
        <v>6414</v>
      </c>
      <c r="F1178" s="8" t="s">
        <v>6415</v>
      </c>
      <c r="G1178" s="6" t="s">
        <v>37</v>
      </c>
      <c r="H1178" s="6" t="s">
        <v>38</v>
      </c>
      <c r="I1178" s="8"/>
      <c r="J1178" s="9">
        <v>1</v>
      </c>
      <c r="K1178" s="9">
        <v>480</v>
      </c>
      <c r="L1178" s="9">
        <v>2023</v>
      </c>
      <c r="M1178" s="8" t="s">
        <v>6416</v>
      </c>
      <c r="N1178" s="8" t="s">
        <v>40</v>
      </c>
      <c r="O1178" s="8" t="s">
        <v>41</v>
      </c>
      <c r="P1178" s="6" t="s">
        <v>4050</v>
      </c>
      <c r="Q1178" s="8" t="s">
        <v>43</v>
      </c>
      <c r="R1178" s="10" t="s">
        <v>1327</v>
      </c>
      <c r="S1178" s="11"/>
      <c r="T1178" s="6"/>
      <c r="U1178" s="28" t="str">
        <f>HYPERLINK("https://media.infra-m.ru/1895/1895986/cover/1895986.jpg", "Обложка")</f>
        <v>Обложка</v>
      </c>
      <c r="V1178" s="28" t="str">
        <f>HYPERLINK("https://znanium.ru/catalog/product/1895986", "Ознакомиться")</f>
        <v>Ознакомиться</v>
      </c>
      <c r="W1178" s="8" t="s">
        <v>124</v>
      </c>
      <c r="X1178" s="6"/>
      <c r="Y1178" s="6"/>
      <c r="Z1178" s="6"/>
      <c r="AA1178" s="6" t="s">
        <v>143</v>
      </c>
    </row>
    <row r="1179" spans="1:27" s="4" customFormat="1" ht="44.1" customHeight="1">
      <c r="A1179" s="5">
        <v>0</v>
      </c>
      <c r="B1179" s="6" t="s">
        <v>6417</v>
      </c>
      <c r="C1179" s="7">
        <v>1560</v>
      </c>
      <c r="D1179" s="8" t="s">
        <v>6418</v>
      </c>
      <c r="E1179" s="8" t="s">
        <v>6419</v>
      </c>
      <c r="F1179" s="8" t="s">
        <v>6415</v>
      </c>
      <c r="G1179" s="6" t="s">
        <v>37</v>
      </c>
      <c r="H1179" s="6" t="s">
        <v>38</v>
      </c>
      <c r="I1179" s="8"/>
      <c r="J1179" s="9">
        <v>1</v>
      </c>
      <c r="K1179" s="9">
        <v>360</v>
      </c>
      <c r="L1179" s="9">
        <v>2021</v>
      </c>
      <c r="M1179" s="8" t="s">
        <v>6420</v>
      </c>
      <c r="N1179" s="8" t="s">
        <v>40</v>
      </c>
      <c r="O1179" s="8" t="s">
        <v>41</v>
      </c>
      <c r="P1179" s="6" t="s">
        <v>4050</v>
      </c>
      <c r="Q1179" s="8" t="s">
        <v>43</v>
      </c>
      <c r="R1179" s="10" t="s">
        <v>1327</v>
      </c>
      <c r="S1179" s="11"/>
      <c r="T1179" s="6"/>
      <c r="U1179" s="28" t="str">
        <f>HYPERLINK("https://media.infra-m.ru/1248/1248241/cover/1248241.jpg", "Обложка")</f>
        <v>Обложка</v>
      </c>
      <c r="V1179" s="28" t="str">
        <f>HYPERLINK("https://znanium.ru/catalog/product/1895986", "Ознакомиться")</f>
        <v>Ознакомиться</v>
      </c>
      <c r="W1179" s="8" t="s">
        <v>124</v>
      </c>
      <c r="X1179" s="6"/>
      <c r="Y1179" s="6"/>
      <c r="Z1179" s="6"/>
      <c r="AA1179" s="6" t="s">
        <v>115</v>
      </c>
    </row>
    <row r="1180" spans="1:27" s="4" customFormat="1" ht="51.95" customHeight="1">
      <c r="A1180" s="5">
        <v>0</v>
      </c>
      <c r="B1180" s="6" t="s">
        <v>6421</v>
      </c>
      <c r="C1180" s="7">
        <v>2880</v>
      </c>
      <c r="D1180" s="8" t="s">
        <v>6422</v>
      </c>
      <c r="E1180" s="8" t="s">
        <v>6423</v>
      </c>
      <c r="F1180" s="8" t="s">
        <v>6424</v>
      </c>
      <c r="G1180" s="6" t="s">
        <v>58</v>
      </c>
      <c r="H1180" s="6" t="s">
        <v>38</v>
      </c>
      <c r="I1180" s="8"/>
      <c r="J1180" s="9">
        <v>1</v>
      </c>
      <c r="K1180" s="9">
        <v>624</v>
      </c>
      <c r="L1180" s="9">
        <v>2024</v>
      </c>
      <c r="M1180" s="8" t="s">
        <v>6425</v>
      </c>
      <c r="N1180" s="8" t="s">
        <v>40</v>
      </c>
      <c r="O1180" s="8" t="s">
        <v>41</v>
      </c>
      <c r="P1180" s="6" t="s">
        <v>95</v>
      </c>
      <c r="Q1180" s="8" t="s">
        <v>515</v>
      </c>
      <c r="R1180" s="10" t="s">
        <v>77</v>
      </c>
      <c r="S1180" s="11"/>
      <c r="T1180" s="6"/>
      <c r="U1180" s="28" t="str">
        <f>HYPERLINK("https://media.infra-m.ru/2142/2142900/cover/2142900.jpg", "Обложка")</f>
        <v>Обложка</v>
      </c>
      <c r="V1180" s="28" t="str">
        <f>HYPERLINK("https://znanium.ru/catalog/product/2142900", "Ознакомиться")</f>
        <v>Ознакомиться</v>
      </c>
      <c r="W1180" s="8" t="s">
        <v>1524</v>
      </c>
      <c r="X1180" s="6"/>
      <c r="Y1180" s="6"/>
      <c r="Z1180" s="6"/>
      <c r="AA1180" s="6" t="s">
        <v>100</v>
      </c>
    </row>
    <row r="1181" spans="1:27" s="4" customFormat="1" ht="51.95" customHeight="1">
      <c r="A1181" s="5">
        <v>0</v>
      </c>
      <c r="B1181" s="6" t="s">
        <v>6426</v>
      </c>
      <c r="C1181" s="7">
        <v>2520</v>
      </c>
      <c r="D1181" s="8" t="s">
        <v>6427</v>
      </c>
      <c r="E1181" s="8" t="s">
        <v>6428</v>
      </c>
      <c r="F1181" s="8" t="s">
        <v>6424</v>
      </c>
      <c r="G1181" s="6" t="s">
        <v>58</v>
      </c>
      <c r="H1181" s="6" t="s">
        <v>38</v>
      </c>
      <c r="I1181" s="8"/>
      <c r="J1181" s="9">
        <v>1</v>
      </c>
      <c r="K1181" s="9">
        <v>544</v>
      </c>
      <c r="L1181" s="9">
        <v>2024</v>
      </c>
      <c r="M1181" s="8" t="s">
        <v>6429</v>
      </c>
      <c r="N1181" s="8" t="s">
        <v>40</v>
      </c>
      <c r="O1181" s="8" t="s">
        <v>41</v>
      </c>
      <c r="P1181" s="6" t="s">
        <v>95</v>
      </c>
      <c r="Q1181" s="8" t="s">
        <v>515</v>
      </c>
      <c r="R1181" s="10" t="s">
        <v>77</v>
      </c>
      <c r="S1181" s="11"/>
      <c r="T1181" s="6"/>
      <c r="U1181" s="28" t="str">
        <f>HYPERLINK("https://media.infra-m.ru/2142/2142899/cover/2142899.jpg", "Обложка")</f>
        <v>Обложка</v>
      </c>
      <c r="V1181" s="28" t="str">
        <f>HYPERLINK("https://znanium.ru/catalog/product/2142899", "Ознакомиться")</f>
        <v>Ознакомиться</v>
      </c>
      <c r="W1181" s="8" t="s">
        <v>1524</v>
      </c>
      <c r="X1181" s="6"/>
      <c r="Y1181" s="6"/>
      <c r="Z1181" s="6"/>
      <c r="AA1181" s="6" t="s">
        <v>100</v>
      </c>
    </row>
    <row r="1182" spans="1:27" s="4" customFormat="1" ht="42" customHeight="1">
      <c r="A1182" s="5">
        <v>0</v>
      </c>
      <c r="B1182" s="6" t="s">
        <v>6430</v>
      </c>
      <c r="C1182" s="7">
        <v>2068.8000000000002</v>
      </c>
      <c r="D1182" s="8" t="s">
        <v>6431</v>
      </c>
      <c r="E1182" s="8" t="s">
        <v>6432</v>
      </c>
      <c r="F1182" s="8" t="s">
        <v>6433</v>
      </c>
      <c r="G1182" s="6" t="s">
        <v>58</v>
      </c>
      <c r="H1182" s="6" t="s">
        <v>38</v>
      </c>
      <c r="I1182" s="8"/>
      <c r="J1182" s="9">
        <v>1</v>
      </c>
      <c r="K1182" s="9">
        <v>368</v>
      </c>
      <c r="L1182" s="9">
        <v>2024</v>
      </c>
      <c r="M1182" s="8" t="s">
        <v>6434</v>
      </c>
      <c r="N1182" s="8" t="s">
        <v>40</v>
      </c>
      <c r="O1182" s="8" t="s">
        <v>41</v>
      </c>
      <c r="P1182" s="6" t="s">
        <v>42</v>
      </c>
      <c r="Q1182" s="8" t="s">
        <v>43</v>
      </c>
      <c r="R1182" s="10" t="s">
        <v>308</v>
      </c>
      <c r="S1182" s="11"/>
      <c r="T1182" s="6"/>
      <c r="U1182" s="28" t="str">
        <f>HYPERLINK("https://media.infra-m.ru/2149/2149056/cover/2149056.jpg", "Обложка")</f>
        <v>Обложка</v>
      </c>
      <c r="V1182" s="28" t="str">
        <f>HYPERLINK("https://znanium.ru/catalog/product/988926", "Ознакомиться")</f>
        <v>Ознакомиться</v>
      </c>
      <c r="W1182" s="8" t="s">
        <v>61</v>
      </c>
      <c r="X1182" s="6"/>
      <c r="Y1182" s="6"/>
      <c r="Z1182" s="6"/>
      <c r="AA1182" s="6" t="s">
        <v>424</v>
      </c>
    </row>
    <row r="1183" spans="1:27" s="4" customFormat="1" ht="42" customHeight="1">
      <c r="A1183" s="5">
        <v>0</v>
      </c>
      <c r="B1183" s="6" t="s">
        <v>6435</v>
      </c>
      <c r="C1183" s="13">
        <v>545.9</v>
      </c>
      <c r="D1183" s="8" t="s">
        <v>6436</v>
      </c>
      <c r="E1183" s="8" t="s">
        <v>6437</v>
      </c>
      <c r="F1183" s="8" t="s">
        <v>6438</v>
      </c>
      <c r="G1183" s="6" t="s">
        <v>58</v>
      </c>
      <c r="H1183" s="6" t="s">
        <v>52</v>
      </c>
      <c r="I1183" s="8" t="s">
        <v>320</v>
      </c>
      <c r="J1183" s="9">
        <v>1</v>
      </c>
      <c r="K1183" s="9">
        <v>156</v>
      </c>
      <c r="L1183" s="9">
        <v>2017</v>
      </c>
      <c r="M1183" s="8" t="s">
        <v>6439</v>
      </c>
      <c r="N1183" s="8" t="s">
        <v>40</v>
      </c>
      <c r="O1183" s="8" t="s">
        <v>41</v>
      </c>
      <c r="P1183" s="6" t="s">
        <v>75</v>
      </c>
      <c r="Q1183" s="8" t="s">
        <v>157</v>
      </c>
      <c r="R1183" s="10" t="s">
        <v>314</v>
      </c>
      <c r="S1183" s="11"/>
      <c r="T1183" s="6"/>
      <c r="U1183" s="28" t="str">
        <f>HYPERLINK("https://media.infra-m.ru/0908/0908691/cover/908691.jpg", "Обложка")</f>
        <v>Обложка</v>
      </c>
      <c r="V1183" s="28" t="str">
        <f>HYPERLINK("https://znanium.ru/catalog/product/255991", "Ознакомиться")</f>
        <v>Ознакомиться</v>
      </c>
      <c r="W1183" s="8" t="s">
        <v>757</v>
      </c>
      <c r="X1183" s="6"/>
      <c r="Y1183" s="6"/>
      <c r="Z1183" s="6"/>
      <c r="AA1183" s="6" t="s">
        <v>424</v>
      </c>
    </row>
    <row r="1184" spans="1:27" s="4" customFormat="1" ht="44.1" customHeight="1">
      <c r="A1184" s="5">
        <v>0</v>
      </c>
      <c r="B1184" s="6" t="s">
        <v>6440</v>
      </c>
      <c r="C1184" s="7">
        <v>1344</v>
      </c>
      <c r="D1184" s="8" t="s">
        <v>6441</v>
      </c>
      <c r="E1184" s="8" t="s">
        <v>6442</v>
      </c>
      <c r="F1184" s="8" t="s">
        <v>6443</v>
      </c>
      <c r="G1184" s="6" t="s">
        <v>58</v>
      </c>
      <c r="H1184" s="6" t="s">
        <v>52</v>
      </c>
      <c r="I1184" s="8" t="s">
        <v>250</v>
      </c>
      <c r="J1184" s="9">
        <v>1</v>
      </c>
      <c r="K1184" s="9">
        <v>245</v>
      </c>
      <c r="L1184" s="9">
        <v>2023</v>
      </c>
      <c r="M1184" s="8" t="s">
        <v>6444</v>
      </c>
      <c r="N1184" s="8" t="s">
        <v>40</v>
      </c>
      <c r="O1184" s="8" t="s">
        <v>41</v>
      </c>
      <c r="P1184" s="6" t="s">
        <v>42</v>
      </c>
      <c r="Q1184" s="8" t="s">
        <v>43</v>
      </c>
      <c r="R1184" s="10" t="s">
        <v>6445</v>
      </c>
      <c r="S1184" s="11"/>
      <c r="T1184" s="6"/>
      <c r="U1184" s="28" t="str">
        <f>HYPERLINK("https://media.infra-m.ru/1913/1913778/cover/1913778.jpg", "Обложка")</f>
        <v>Обложка</v>
      </c>
      <c r="V1184" s="12"/>
      <c r="W1184" s="8" t="s">
        <v>757</v>
      </c>
      <c r="X1184" s="6"/>
      <c r="Y1184" s="6"/>
      <c r="Z1184" s="6"/>
      <c r="AA1184" s="6" t="s">
        <v>417</v>
      </c>
    </row>
    <row r="1185" spans="1:27" s="4" customFormat="1" ht="51.95" customHeight="1">
      <c r="A1185" s="5">
        <v>0</v>
      </c>
      <c r="B1185" s="6" t="s">
        <v>6446</v>
      </c>
      <c r="C1185" s="7">
        <v>2472</v>
      </c>
      <c r="D1185" s="8" t="s">
        <v>6447</v>
      </c>
      <c r="E1185" s="8" t="s">
        <v>6442</v>
      </c>
      <c r="F1185" s="8" t="s">
        <v>747</v>
      </c>
      <c r="G1185" s="6" t="s">
        <v>58</v>
      </c>
      <c r="H1185" s="6" t="s">
        <v>38</v>
      </c>
      <c r="I1185" s="8"/>
      <c r="J1185" s="9">
        <v>1</v>
      </c>
      <c r="K1185" s="9">
        <v>448</v>
      </c>
      <c r="L1185" s="9">
        <v>2024</v>
      </c>
      <c r="M1185" s="8" t="s">
        <v>6448</v>
      </c>
      <c r="N1185" s="8" t="s">
        <v>40</v>
      </c>
      <c r="O1185" s="8" t="s">
        <v>41</v>
      </c>
      <c r="P1185" s="6" t="s">
        <v>75</v>
      </c>
      <c r="Q1185" s="8" t="s">
        <v>76</v>
      </c>
      <c r="R1185" s="10" t="s">
        <v>2659</v>
      </c>
      <c r="S1185" s="11"/>
      <c r="T1185" s="6"/>
      <c r="U1185" s="28" t="str">
        <f>HYPERLINK("https://media.infra-m.ru/2130/2130189/cover/2130189.jpg", "Обложка")</f>
        <v>Обложка</v>
      </c>
      <c r="V1185" s="28" t="str">
        <f>HYPERLINK("https://znanium.ru/catalog/product/2130189", "Ознакомиться")</f>
        <v>Ознакомиться</v>
      </c>
      <c r="W1185" s="8" t="s">
        <v>78</v>
      </c>
      <c r="X1185" s="6"/>
      <c r="Y1185" s="6"/>
      <c r="Z1185" s="6"/>
      <c r="AA1185" s="6" t="s">
        <v>655</v>
      </c>
    </row>
    <row r="1186" spans="1:27" s="4" customFormat="1" ht="51.95" customHeight="1">
      <c r="A1186" s="5">
        <v>0</v>
      </c>
      <c r="B1186" s="6" t="s">
        <v>6449</v>
      </c>
      <c r="C1186" s="7">
        <v>1792.8</v>
      </c>
      <c r="D1186" s="8" t="s">
        <v>6450</v>
      </c>
      <c r="E1186" s="8" t="s">
        <v>6451</v>
      </c>
      <c r="F1186" s="8" t="s">
        <v>6452</v>
      </c>
      <c r="G1186" s="6" t="s">
        <v>58</v>
      </c>
      <c r="H1186" s="6" t="s">
        <v>38</v>
      </c>
      <c r="I1186" s="8" t="s">
        <v>1769</v>
      </c>
      <c r="J1186" s="9">
        <v>1</v>
      </c>
      <c r="K1186" s="9">
        <v>320</v>
      </c>
      <c r="L1186" s="9">
        <v>2024</v>
      </c>
      <c r="M1186" s="8" t="s">
        <v>6453</v>
      </c>
      <c r="N1186" s="8" t="s">
        <v>40</v>
      </c>
      <c r="O1186" s="8" t="s">
        <v>41</v>
      </c>
      <c r="P1186" s="6" t="s">
        <v>95</v>
      </c>
      <c r="Q1186" s="8" t="s">
        <v>515</v>
      </c>
      <c r="R1186" s="10" t="s">
        <v>122</v>
      </c>
      <c r="S1186" s="11"/>
      <c r="T1186" s="6"/>
      <c r="U1186" s="28" t="str">
        <f>HYPERLINK("https://media.infra-m.ru/2130/2130209/cover/2130209.jpg", "Обложка")</f>
        <v>Обложка</v>
      </c>
      <c r="V1186" s="28" t="str">
        <f>HYPERLINK("https://znanium.ru/catalog/product/2106675", "Ознакомиться")</f>
        <v>Ознакомиться</v>
      </c>
      <c r="W1186" s="8"/>
      <c r="X1186" s="6"/>
      <c r="Y1186" s="6"/>
      <c r="Z1186" s="6"/>
      <c r="AA1186" s="6" t="s">
        <v>115</v>
      </c>
    </row>
    <row r="1187" spans="1:27" s="4" customFormat="1" ht="51.95" customHeight="1">
      <c r="A1187" s="5">
        <v>0</v>
      </c>
      <c r="B1187" s="6" t="s">
        <v>6454</v>
      </c>
      <c r="C1187" s="7">
        <v>1469.9</v>
      </c>
      <c r="D1187" s="8" t="s">
        <v>6455</v>
      </c>
      <c r="E1187" s="8" t="s">
        <v>6456</v>
      </c>
      <c r="F1187" s="8" t="s">
        <v>747</v>
      </c>
      <c r="G1187" s="6" t="s">
        <v>37</v>
      </c>
      <c r="H1187" s="6" t="s">
        <v>38</v>
      </c>
      <c r="I1187" s="8"/>
      <c r="J1187" s="9">
        <v>1</v>
      </c>
      <c r="K1187" s="9">
        <v>320</v>
      </c>
      <c r="L1187" s="9">
        <v>2022</v>
      </c>
      <c r="M1187" s="8" t="s">
        <v>6457</v>
      </c>
      <c r="N1187" s="8" t="s">
        <v>40</v>
      </c>
      <c r="O1187" s="8" t="s">
        <v>41</v>
      </c>
      <c r="P1187" s="6" t="s">
        <v>95</v>
      </c>
      <c r="Q1187" s="8" t="s">
        <v>157</v>
      </c>
      <c r="R1187" s="10" t="s">
        <v>122</v>
      </c>
      <c r="S1187" s="11"/>
      <c r="T1187" s="6"/>
      <c r="U1187" s="28" t="str">
        <f>HYPERLINK("https://media.infra-m.ru/1860/1860815/cover/1860815.jpg", "Обложка")</f>
        <v>Обложка</v>
      </c>
      <c r="V1187" s="28" t="str">
        <f>HYPERLINK("https://znanium.ru/catalog/product/1896822", "Ознакомиться")</f>
        <v>Ознакомиться</v>
      </c>
      <c r="W1187" s="8" t="s">
        <v>78</v>
      </c>
      <c r="X1187" s="6"/>
      <c r="Y1187" s="6"/>
      <c r="Z1187" s="6"/>
      <c r="AA1187" s="6" t="s">
        <v>2490</v>
      </c>
    </row>
    <row r="1188" spans="1:27" s="4" customFormat="1" ht="42" customHeight="1">
      <c r="A1188" s="5">
        <v>0</v>
      </c>
      <c r="B1188" s="6" t="s">
        <v>6458</v>
      </c>
      <c r="C1188" s="7">
        <v>1948.8</v>
      </c>
      <c r="D1188" s="8" t="s">
        <v>6459</v>
      </c>
      <c r="E1188" s="8" t="s">
        <v>6451</v>
      </c>
      <c r="F1188" s="8" t="s">
        <v>6460</v>
      </c>
      <c r="G1188" s="6" t="s">
        <v>58</v>
      </c>
      <c r="H1188" s="6" t="s">
        <v>410</v>
      </c>
      <c r="I1188" s="8" t="s">
        <v>6461</v>
      </c>
      <c r="J1188" s="9">
        <v>1</v>
      </c>
      <c r="K1188" s="9">
        <v>352</v>
      </c>
      <c r="L1188" s="9">
        <v>2024</v>
      </c>
      <c r="M1188" s="8" t="s">
        <v>6462</v>
      </c>
      <c r="N1188" s="8" t="s">
        <v>40</v>
      </c>
      <c r="O1188" s="8" t="s">
        <v>41</v>
      </c>
      <c r="P1188" s="6" t="s">
        <v>2020</v>
      </c>
      <c r="Q1188" s="8" t="s">
        <v>76</v>
      </c>
      <c r="R1188" s="10" t="s">
        <v>308</v>
      </c>
      <c r="S1188" s="11"/>
      <c r="T1188" s="6"/>
      <c r="U1188" s="28" t="str">
        <f>HYPERLINK("https://media.infra-m.ru/1855/1855798/cover/1855798.jpg", "Обложка")</f>
        <v>Обложка</v>
      </c>
      <c r="V1188" s="28" t="str">
        <f>HYPERLINK("https://znanium.ru/catalog/product/1855798", "Ознакомиться")</f>
        <v>Ознакомиться</v>
      </c>
      <c r="W1188" s="8" t="s">
        <v>78</v>
      </c>
      <c r="X1188" s="6"/>
      <c r="Y1188" s="6"/>
      <c r="Z1188" s="6"/>
      <c r="AA1188" s="6" t="s">
        <v>737</v>
      </c>
    </row>
    <row r="1189" spans="1:27" s="4" customFormat="1" ht="51.95" customHeight="1">
      <c r="A1189" s="5">
        <v>0</v>
      </c>
      <c r="B1189" s="6" t="s">
        <v>6463</v>
      </c>
      <c r="C1189" s="7">
        <v>1227.5</v>
      </c>
      <c r="D1189" s="8" t="s">
        <v>6464</v>
      </c>
      <c r="E1189" s="8" t="s">
        <v>6465</v>
      </c>
      <c r="F1189" s="8" t="s">
        <v>2685</v>
      </c>
      <c r="G1189" s="6" t="s">
        <v>58</v>
      </c>
      <c r="H1189" s="6" t="s">
        <v>38</v>
      </c>
      <c r="I1189" s="8"/>
      <c r="J1189" s="9">
        <v>1</v>
      </c>
      <c r="K1189" s="9">
        <v>384</v>
      </c>
      <c r="L1189" s="9">
        <v>2019</v>
      </c>
      <c r="M1189" s="8" t="s">
        <v>6466</v>
      </c>
      <c r="N1189" s="8" t="s">
        <v>40</v>
      </c>
      <c r="O1189" s="8" t="s">
        <v>41</v>
      </c>
      <c r="P1189" s="6" t="s">
        <v>42</v>
      </c>
      <c r="Q1189" s="8" t="s">
        <v>43</v>
      </c>
      <c r="R1189" s="10" t="s">
        <v>2687</v>
      </c>
      <c r="S1189" s="11"/>
      <c r="T1189" s="6"/>
      <c r="U1189" s="28" t="str">
        <f>HYPERLINK("https://media.infra-m.ru/1019/1019212/cover/1019212.jpg", "Обложка")</f>
        <v>Обложка</v>
      </c>
      <c r="V1189" s="28" t="str">
        <f>HYPERLINK("https://znanium.ru/catalog/product/1061191", "Ознакомиться")</f>
        <v>Ознакомиться</v>
      </c>
      <c r="W1189" s="8" t="s">
        <v>2689</v>
      </c>
      <c r="X1189" s="6"/>
      <c r="Y1189" s="6"/>
      <c r="Z1189" s="6"/>
      <c r="AA1189" s="6" t="s">
        <v>79</v>
      </c>
    </row>
    <row r="1190" spans="1:27" s="4" customFormat="1" ht="42" customHeight="1">
      <c r="A1190" s="5">
        <v>0</v>
      </c>
      <c r="B1190" s="6" t="s">
        <v>6467</v>
      </c>
      <c r="C1190" s="13">
        <v>449.9</v>
      </c>
      <c r="D1190" s="8" t="s">
        <v>6468</v>
      </c>
      <c r="E1190" s="8" t="s">
        <v>6469</v>
      </c>
      <c r="F1190" s="8" t="s">
        <v>6470</v>
      </c>
      <c r="G1190" s="6" t="s">
        <v>51</v>
      </c>
      <c r="H1190" s="6" t="s">
        <v>84</v>
      </c>
      <c r="I1190" s="8" t="s">
        <v>250</v>
      </c>
      <c r="J1190" s="9">
        <v>1</v>
      </c>
      <c r="K1190" s="9">
        <v>120</v>
      </c>
      <c r="L1190" s="9">
        <v>2018</v>
      </c>
      <c r="M1190" s="8" t="s">
        <v>6471</v>
      </c>
      <c r="N1190" s="8" t="s">
        <v>40</v>
      </c>
      <c r="O1190" s="8" t="s">
        <v>41</v>
      </c>
      <c r="P1190" s="6" t="s">
        <v>42</v>
      </c>
      <c r="Q1190" s="8" t="s">
        <v>43</v>
      </c>
      <c r="R1190" s="10" t="s">
        <v>314</v>
      </c>
      <c r="S1190" s="11"/>
      <c r="T1190" s="6"/>
      <c r="U1190" s="28" t="str">
        <f>HYPERLINK("https://media.infra-m.ru/0925/0925869/cover/925869.jpg", "Обложка")</f>
        <v>Обложка</v>
      </c>
      <c r="V1190" s="28" t="str">
        <f>HYPERLINK("https://znanium.ru/catalog/product/925869", "Ознакомиться")</f>
        <v>Ознакомиться</v>
      </c>
      <c r="W1190" s="8" t="s">
        <v>170</v>
      </c>
      <c r="X1190" s="6"/>
      <c r="Y1190" s="6"/>
      <c r="Z1190" s="6"/>
      <c r="AA1190" s="6" t="s">
        <v>293</v>
      </c>
    </row>
    <row r="1191" spans="1:27" s="4" customFormat="1" ht="42" customHeight="1">
      <c r="A1191" s="5">
        <v>0</v>
      </c>
      <c r="B1191" s="6" t="s">
        <v>6472</v>
      </c>
      <c r="C1191" s="7">
        <v>1108.8</v>
      </c>
      <c r="D1191" s="8" t="s">
        <v>6473</v>
      </c>
      <c r="E1191" s="8" t="s">
        <v>6474</v>
      </c>
      <c r="F1191" s="8" t="s">
        <v>6475</v>
      </c>
      <c r="G1191" s="6" t="s">
        <v>51</v>
      </c>
      <c r="H1191" s="6" t="s">
        <v>38</v>
      </c>
      <c r="I1191" s="8"/>
      <c r="J1191" s="9">
        <v>1</v>
      </c>
      <c r="K1191" s="9">
        <v>224</v>
      </c>
      <c r="L1191" s="9">
        <v>2024</v>
      </c>
      <c r="M1191" s="8" t="s">
        <v>6476</v>
      </c>
      <c r="N1191" s="8" t="s">
        <v>40</v>
      </c>
      <c r="O1191" s="8" t="s">
        <v>41</v>
      </c>
      <c r="P1191" s="6" t="s">
        <v>42</v>
      </c>
      <c r="Q1191" s="8" t="s">
        <v>43</v>
      </c>
      <c r="R1191" s="10" t="s">
        <v>6477</v>
      </c>
      <c r="S1191" s="11"/>
      <c r="T1191" s="6"/>
      <c r="U1191" s="28" t="str">
        <f>HYPERLINK("https://media.infra-m.ru/2133/2133517/cover/2133517.jpg", "Обложка")</f>
        <v>Обложка</v>
      </c>
      <c r="V1191" s="28" t="str">
        <f>HYPERLINK("https://znanium.ru/catalog/product/1234919", "Ознакомиться")</f>
        <v>Ознакомиться</v>
      </c>
      <c r="W1191" s="8" t="s">
        <v>3228</v>
      </c>
      <c r="X1191" s="6"/>
      <c r="Y1191" s="6"/>
      <c r="Z1191" s="6"/>
      <c r="AA1191" s="6" t="s">
        <v>293</v>
      </c>
    </row>
    <row r="1192" spans="1:27" s="4" customFormat="1" ht="42" customHeight="1">
      <c r="A1192" s="5">
        <v>0</v>
      </c>
      <c r="B1192" s="6" t="s">
        <v>6478</v>
      </c>
      <c r="C1192" s="7">
        <v>1853.9</v>
      </c>
      <c r="D1192" s="8" t="s">
        <v>6479</v>
      </c>
      <c r="E1192" s="8" t="s">
        <v>6480</v>
      </c>
      <c r="F1192" s="8" t="s">
        <v>626</v>
      </c>
      <c r="G1192" s="6" t="s">
        <v>58</v>
      </c>
      <c r="H1192" s="6" t="s">
        <v>38</v>
      </c>
      <c r="I1192" s="8"/>
      <c r="J1192" s="9">
        <v>1</v>
      </c>
      <c r="K1192" s="9">
        <v>368</v>
      </c>
      <c r="L1192" s="9">
        <v>2022</v>
      </c>
      <c r="M1192" s="8" t="s">
        <v>6481</v>
      </c>
      <c r="N1192" s="8" t="s">
        <v>40</v>
      </c>
      <c r="O1192" s="8" t="s">
        <v>41</v>
      </c>
      <c r="P1192" s="6" t="s">
        <v>42</v>
      </c>
      <c r="Q1192" s="8" t="s">
        <v>43</v>
      </c>
      <c r="R1192" s="10" t="s">
        <v>932</v>
      </c>
      <c r="S1192" s="11"/>
      <c r="T1192" s="6"/>
      <c r="U1192" s="28" t="str">
        <f>HYPERLINK("https://media.infra-m.ru/1875/1875349/cover/1875349.jpg", "Обложка")</f>
        <v>Обложка</v>
      </c>
      <c r="V1192" s="28" t="str">
        <f>HYPERLINK("https://znanium.ru/catalog/product/1078118", "Ознакомиться")</f>
        <v>Ознакомиться</v>
      </c>
      <c r="W1192" s="8" t="s">
        <v>114</v>
      </c>
      <c r="X1192" s="6"/>
      <c r="Y1192" s="6"/>
      <c r="Z1192" s="6"/>
      <c r="AA1192" s="6" t="s">
        <v>557</v>
      </c>
    </row>
    <row r="1193" spans="1:27" s="4" customFormat="1" ht="44.1" customHeight="1">
      <c r="A1193" s="5">
        <v>0</v>
      </c>
      <c r="B1193" s="6" t="s">
        <v>6482</v>
      </c>
      <c r="C1193" s="7">
        <v>1224</v>
      </c>
      <c r="D1193" s="8" t="s">
        <v>6483</v>
      </c>
      <c r="E1193" s="8" t="s">
        <v>6484</v>
      </c>
      <c r="F1193" s="8" t="s">
        <v>6485</v>
      </c>
      <c r="G1193" s="6" t="s">
        <v>51</v>
      </c>
      <c r="H1193" s="6" t="s">
        <v>52</v>
      </c>
      <c r="I1193" s="8" t="s">
        <v>250</v>
      </c>
      <c r="J1193" s="9">
        <v>1</v>
      </c>
      <c r="K1193" s="9">
        <v>228</v>
      </c>
      <c r="L1193" s="9">
        <v>2022</v>
      </c>
      <c r="M1193" s="8" t="s">
        <v>6486</v>
      </c>
      <c r="N1193" s="8" t="s">
        <v>40</v>
      </c>
      <c r="O1193" s="8" t="s">
        <v>41</v>
      </c>
      <c r="P1193" s="6" t="s">
        <v>42</v>
      </c>
      <c r="Q1193" s="8" t="s">
        <v>43</v>
      </c>
      <c r="R1193" s="10" t="s">
        <v>535</v>
      </c>
      <c r="S1193" s="11"/>
      <c r="T1193" s="6"/>
      <c r="U1193" s="28" t="str">
        <f>HYPERLINK("https://media.infra-m.ru/1816/1816933/cover/1816933.jpg", "Обложка")</f>
        <v>Обложка</v>
      </c>
      <c r="V1193" s="28" t="str">
        <f>HYPERLINK("https://znanium.ru/catalog/product/1816933", "Ознакомиться")</f>
        <v>Ознакомиться</v>
      </c>
      <c r="W1193" s="8" t="s">
        <v>757</v>
      </c>
      <c r="X1193" s="6"/>
      <c r="Y1193" s="6"/>
      <c r="Z1193" s="6"/>
      <c r="AA1193" s="6" t="s">
        <v>148</v>
      </c>
    </row>
    <row r="1194" spans="1:27" s="4" customFormat="1" ht="42" customHeight="1">
      <c r="A1194" s="5">
        <v>0</v>
      </c>
      <c r="B1194" s="6" t="s">
        <v>6487</v>
      </c>
      <c r="C1194" s="7">
        <v>2484</v>
      </c>
      <c r="D1194" s="8" t="s">
        <v>6488</v>
      </c>
      <c r="E1194" s="8" t="s">
        <v>6489</v>
      </c>
      <c r="F1194" s="8" t="s">
        <v>6490</v>
      </c>
      <c r="G1194" s="6" t="s">
        <v>37</v>
      </c>
      <c r="H1194" s="6" t="s">
        <v>38</v>
      </c>
      <c r="I1194" s="8"/>
      <c r="J1194" s="9">
        <v>1</v>
      </c>
      <c r="K1194" s="9">
        <v>576</v>
      </c>
      <c r="L1194" s="9">
        <v>2021</v>
      </c>
      <c r="M1194" s="8" t="s">
        <v>6491</v>
      </c>
      <c r="N1194" s="8" t="s">
        <v>40</v>
      </c>
      <c r="O1194" s="8" t="s">
        <v>41</v>
      </c>
      <c r="P1194" s="6" t="s">
        <v>42</v>
      </c>
      <c r="Q1194" s="8" t="s">
        <v>43</v>
      </c>
      <c r="R1194" s="10" t="s">
        <v>308</v>
      </c>
      <c r="S1194" s="11"/>
      <c r="T1194" s="6"/>
      <c r="U1194" s="28" t="str">
        <f>HYPERLINK("https://media.infra-m.ru/1227/1227192/cover/1227192.jpg", "Обложка")</f>
        <v>Обложка</v>
      </c>
      <c r="V1194" s="28" t="str">
        <f>HYPERLINK("https://znanium.ru/catalog/product/1227192", "Ознакомиться")</f>
        <v>Ознакомиться</v>
      </c>
      <c r="W1194" s="8" t="s">
        <v>1393</v>
      </c>
      <c r="X1194" s="6"/>
      <c r="Y1194" s="6"/>
      <c r="Z1194" s="6"/>
      <c r="AA1194" s="6" t="s">
        <v>424</v>
      </c>
    </row>
    <row r="1195" spans="1:27" s="4" customFormat="1" ht="51.95" customHeight="1">
      <c r="A1195" s="5">
        <v>0</v>
      </c>
      <c r="B1195" s="6" t="s">
        <v>6492</v>
      </c>
      <c r="C1195" s="13">
        <v>953.9</v>
      </c>
      <c r="D1195" s="8" t="s">
        <v>6493</v>
      </c>
      <c r="E1195" s="8" t="s">
        <v>6494</v>
      </c>
      <c r="F1195" s="8" t="s">
        <v>6495</v>
      </c>
      <c r="G1195" s="6" t="s">
        <v>37</v>
      </c>
      <c r="H1195" s="6" t="s">
        <v>38</v>
      </c>
      <c r="I1195" s="8"/>
      <c r="J1195" s="9">
        <v>1</v>
      </c>
      <c r="K1195" s="9">
        <v>176</v>
      </c>
      <c r="L1195" s="9">
        <v>2023</v>
      </c>
      <c r="M1195" s="8" t="s">
        <v>6496</v>
      </c>
      <c r="N1195" s="8" t="s">
        <v>40</v>
      </c>
      <c r="O1195" s="8" t="s">
        <v>41</v>
      </c>
      <c r="P1195" s="6" t="s">
        <v>75</v>
      </c>
      <c r="Q1195" s="8" t="s">
        <v>157</v>
      </c>
      <c r="R1195" s="10" t="s">
        <v>122</v>
      </c>
      <c r="S1195" s="11"/>
      <c r="T1195" s="6"/>
      <c r="U1195" s="28" t="str">
        <f>HYPERLINK("https://media.infra-m.ru/2006/2006933/cover/2006933.jpg", "Обложка")</f>
        <v>Обложка</v>
      </c>
      <c r="V1195" s="28" t="str">
        <f>HYPERLINK("https://znanium.ru/catalog/product/1201974", "Ознакомиться")</f>
        <v>Ознакомиться</v>
      </c>
      <c r="W1195" s="8" t="s">
        <v>114</v>
      </c>
      <c r="X1195" s="6"/>
      <c r="Y1195" s="6"/>
      <c r="Z1195" s="6"/>
      <c r="AA1195" s="6" t="s">
        <v>324</v>
      </c>
    </row>
    <row r="1196" spans="1:27" s="4" customFormat="1" ht="51.95" customHeight="1">
      <c r="A1196" s="5">
        <v>0</v>
      </c>
      <c r="B1196" s="6" t="s">
        <v>6497</v>
      </c>
      <c r="C1196" s="13">
        <v>600</v>
      </c>
      <c r="D1196" s="8" t="s">
        <v>6498</v>
      </c>
      <c r="E1196" s="8" t="s">
        <v>6499</v>
      </c>
      <c r="F1196" s="8" t="s">
        <v>6495</v>
      </c>
      <c r="G1196" s="6" t="s">
        <v>58</v>
      </c>
      <c r="H1196" s="6" t="s">
        <v>38</v>
      </c>
      <c r="I1196" s="8"/>
      <c r="J1196" s="9">
        <v>1</v>
      </c>
      <c r="K1196" s="9">
        <v>160</v>
      </c>
      <c r="L1196" s="9">
        <v>2018</v>
      </c>
      <c r="M1196" s="8" t="s">
        <v>6500</v>
      </c>
      <c r="N1196" s="8" t="s">
        <v>40</v>
      </c>
      <c r="O1196" s="8" t="s">
        <v>41</v>
      </c>
      <c r="P1196" s="6" t="s">
        <v>75</v>
      </c>
      <c r="Q1196" s="8" t="s">
        <v>157</v>
      </c>
      <c r="R1196" s="10" t="s">
        <v>122</v>
      </c>
      <c r="S1196" s="11"/>
      <c r="T1196" s="6"/>
      <c r="U1196" s="28" t="str">
        <f>HYPERLINK("https://media.infra-m.ru/0948/0948181/cover/948181.jpg", "Обложка")</f>
        <v>Обложка</v>
      </c>
      <c r="V1196" s="28" t="str">
        <f>HYPERLINK("https://znanium.ru/catalog/product/1201974", "Ознакомиться")</f>
        <v>Ознакомиться</v>
      </c>
      <c r="W1196" s="8" t="s">
        <v>114</v>
      </c>
      <c r="X1196" s="6"/>
      <c r="Y1196" s="6"/>
      <c r="Z1196" s="6"/>
      <c r="AA1196" s="6" t="s">
        <v>46</v>
      </c>
    </row>
    <row r="1197" spans="1:27" s="4" customFormat="1" ht="42" customHeight="1">
      <c r="A1197" s="5">
        <v>0</v>
      </c>
      <c r="B1197" s="6" t="s">
        <v>6501</v>
      </c>
      <c r="C1197" s="7">
        <v>1528.8</v>
      </c>
      <c r="D1197" s="8" t="s">
        <v>6502</v>
      </c>
      <c r="E1197" s="8" t="s">
        <v>6503</v>
      </c>
      <c r="F1197" s="8" t="s">
        <v>869</v>
      </c>
      <c r="G1197" s="6" t="s">
        <v>37</v>
      </c>
      <c r="H1197" s="6" t="s">
        <v>38</v>
      </c>
      <c r="I1197" s="8"/>
      <c r="J1197" s="9">
        <v>1</v>
      </c>
      <c r="K1197" s="9">
        <v>272</v>
      </c>
      <c r="L1197" s="9">
        <v>2024</v>
      </c>
      <c r="M1197" s="8" t="s">
        <v>6504</v>
      </c>
      <c r="N1197" s="8" t="s">
        <v>40</v>
      </c>
      <c r="O1197" s="8" t="s">
        <v>41</v>
      </c>
      <c r="P1197" s="6" t="s">
        <v>42</v>
      </c>
      <c r="Q1197" s="8" t="s">
        <v>43</v>
      </c>
      <c r="R1197" s="10" t="s">
        <v>69</v>
      </c>
      <c r="S1197" s="11"/>
      <c r="T1197" s="6"/>
      <c r="U1197" s="28" t="str">
        <f>HYPERLINK("https://media.infra-m.ru/2132/2132305/cover/2132305.jpg", "Обложка")</f>
        <v>Обложка</v>
      </c>
      <c r="V1197" s="28" t="str">
        <f>HYPERLINK("https://znanium.ru/catalog/product/1859983", "Ознакомиться")</f>
        <v>Ознакомиться</v>
      </c>
      <c r="W1197" s="8" t="s">
        <v>731</v>
      </c>
      <c r="X1197" s="6"/>
      <c r="Y1197" s="6"/>
      <c r="Z1197" s="6"/>
      <c r="AA1197" s="6" t="s">
        <v>115</v>
      </c>
    </row>
    <row r="1198" spans="1:27" s="4" customFormat="1" ht="51.95" customHeight="1">
      <c r="A1198" s="5">
        <v>0</v>
      </c>
      <c r="B1198" s="6" t="s">
        <v>6505</v>
      </c>
      <c r="C1198" s="13">
        <v>628.79999999999995</v>
      </c>
      <c r="D1198" s="8" t="s">
        <v>6506</v>
      </c>
      <c r="E1198" s="8" t="s">
        <v>6507</v>
      </c>
      <c r="F1198" s="8" t="s">
        <v>6508</v>
      </c>
      <c r="G1198" s="6" t="s">
        <v>51</v>
      </c>
      <c r="H1198" s="6" t="s">
        <v>84</v>
      </c>
      <c r="I1198" s="8" t="s">
        <v>250</v>
      </c>
      <c r="J1198" s="9">
        <v>1</v>
      </c>
      <c r="K1198" s="9">
        <v>111</v>
      </c>
      <c r="L1198" s="9">
        <v>2023</v>
      </c>
      <c r="M1198" s="8" t="s">
        <v>6509</v>
      </c>
      <c r="N1198" s="8" t="s">
        <v>40</v>
      </c>
      <c r="O1198" s="8" t="s">
        <v>41</v>
      </c>
      <c r="P1198" s="6" t="s">
        <v>42</v>
      </c>
      <c r="Q1198" s="8" t="s">
        <v>43</v>
      </c>
      <c r="R1198" s="10" t="s">
        <v>1829</v>
      </c>
      <c r="S1198" s="11"/>
      <c r="T1198" s="6"/>
      <c r="U1198" s="28" t="str">
        <f>HYPERLINK("https://media.infra-m.ru/2021/2021405/cover/2021405.jpg", "Обложка")</f>
        <v>Обложка</v>
      </c>
      <c r="V1198" s="28" t="str">
        <f>HYPERLINK("https://znanium.ru/catalog/product/2021405", "Ознакомиться")</f>
        <v>Ознакомиться</v>
      </c>
      <c r="W1198" s="8" t="s">
        <v>3146</v>
      </c>
      <c r="X1198" s="6"/>
      <c r="Y1198" s="6"/>
      <c r="Z1198" s="6"/>
      <c r="AA1198" s="6" t="s">
        <v>79</v>
      </c>
    </row>
    <row r="1199" spans="1:27" s="4" customFormat="1" ht="42" customHeight="1">
      <c r="A1199" s="5">
        <v>0</v>
      </c>
      <c r="B1199" s="6" t="s">
        <v>6510</v>
      </c>
      <c r="C1199" s="13">
        <v>996</v>
      </c>
      <c r="D1199" s="8" t="s">
        <v>6511</v>
      </c>
      <c r="E1199" s="8" t="s">
        <v>6512</v>
      </c>
      <c r="F1199" s="8" t="s">
        <v>6513</v>
      </c>
      <c r="G1199" s="6" t="s">
        <v>51</v>
      </c>
      <c r="H1199" s="6" t="s">
        <v>84</v>
      </c>
      <c r="I1199" s="8" t="s">
        <v>85</v>
      </c>
      <c r="J1199" s="9">
        <v>1</v>
      </c>
      <c r="K1199" s="9">
        <v>184</v>
      </c>
      <c r="L1199" s="9">
        <v>2023</v>
      </c>
      <c r="M1199" s="8" t="s">
        <v>6514</v>
      </c>
      <c r="N1199" s="8" t="s">
        <v>40</v>
      </c>
      <c r="O1199" s="8" t="s">
        <v>41</v>
      </c>
      <c r="P1199" s="6" t="s">
        <v>42</v>
      </c>
      <c r="Q1199" s="8" t="s">
        <v>43</v>
      </c>
      <c r="R1199" s="10" t="s">
        <v>314</v>
      </c>
      <c r="S1199" s="11"/>
      <c r="T1199" s="6"/>
      <c r="U1199" s="28" t="str">
        <f>HYPERLINK("https://media.infra-m.ru/2011/2011479/cover/2011479.jpg", "Обложка")</f>
        <v>Обложка</v>
      </c>
      <c r="V1199" s="28" t="str">
        <f>HYPERLINK("https://znanium.ru/catalog/product/2011479", "Ознакомиться")</f>
        <v>Ознакомиться</v>
      </c>
      <c r="W1199" s="8" t="s">
        <v>45</v>
      </c>
      <c r="X1199" s="6"/>
      <c r="Y1199" s="6"/>
      <c r="Z1199" s="6"/>
      <c r="AA1199" s="6" t="s">
        <v>302</v>
      </c>
    </row>
    <row r="1200" spans="1:27" s="4" customFormat="1" ht="51.95" customHeight="1">
      <c r="A1200" s="5">
        <v>0</v>
      </c>
      <c r="B1200" s="6" t="s">
        <v>6515</v>
      </c>
      <c r="C1200" s="13">
        <v>540</v>
      </c>
      <c r="D1200" s="8" t="s">
        <v>6516</v>
      </c>
      <c r="E1200" s="8" t="s">
        <v>6517</v>
      </c>
      <c r="F1200" s="8" t="s">
        <v>6518</v>
      </c>
      <c r="G1200" s="6" t="s">
        <v>51</v>
      </c>
      <c r="H1200" s="6" t="s">
        <v>84</v>
      </c>
      <c r="I1200" s="8" t="s">
        <v>250</v>
      </c>
      <c r="J1200" s="9">
        <v>1</v>
      </c>
      <c r="K1200" s="9">
        <v>128</v>
      </c>
      <c r="L1200" s="9">
        <v>2020</v>
      </c>
      <c r="M1200" s="8" t="s">
        <v>6519</v>
      </c>
      <c r="N1200" s="8" t="s">
        <v>40</v>
      </c>
      <c r="O1200" s="8" t="s">
        <v>41</v>
      </c>
      <c r="P1200" s="6" t="s">
        <v>42</v>
      </c>
      <c r="Q1200" s="8" t="s">
        <v>43</v>
      </c>
      <c r="R1200" s="10" t="s">
        <v>6520</v>
      </c>
      <c r="S1200" s="11"/>
      <c r="T1200" s="6"/>
      <c r="U1200" s="28" t="str">
        <f>HYPERLINK("https://media.infra-m.ru/1045/1045386/cover/1045386.jpg", "Обложка")</f>
        <v>Обложка</v>
      </c>
      <c r="V1200" s="28" t="str">
        <f>HYPERLINK("https://znanium.ru/catalog/product/1045386", "Ознакомиться")</f>
        <v>Ознакомиться</v>
      </c>
      <c r="W1200" s="8" t="s">
        <v>1393</v>
      </c>
      <c r="X1200" s="6"/>
      <c r="Y1200" s="6"/>
      <c r="Z1200" s="6"/>
      <c r="AA1200" s="6" t="s">
        <v>424</v>
      </c>
    </row>
    <row r="1201" spans="1:27" s="4" customFormat="1" ht="51.95" customHeight="1">
      <c r="A1201" s="5">
        <v>0</v>
      </c>
      <c r="B1201" s="6" t="s">
        <v>6521</v>
      </c>
      <c r="C1201" s="7">
        <v>1860</v>
      </c>
      <c r="D1201" s="8" t="s">
        <v>6522</v>
      </c>
      <c r="E1201" s="8" t="s">
        <v>6523</v>
      </c>
      <c r="F1201" s="8" t="s">
        <v>6524</v>
      </c>
      <c r="G1201" s="6" t="s">
        <v>37</v>
      </c>
      <c r="H1201" s="6" t="s">
        <v>38</v>
      </c>
      <c r="I1201" s="8"/>
      <c r="J1201" s="9">
        <v>1</v>
      </c>
      <c r="K1201" s="9">
        <v>336</v>
      </c>
      <c r="L1201" s="9">
        <v>2024</v>
      </c>
      <c r="M1201" s="8" t="s">
        <v>6525</v>
      </c>
      <c r="N1201" s="8" t="s">
        <v>40</v>
      </c>
      <c r="O1201" s="8" t="s">
        <v>41</v>
      </c>
      <c r="P1201" s="6" t="s">
        <v>42</v>
      </c>
      <c r="Q1201" s="8" t="s">
        <v>43</v>
      </c>
      <c r="R1201" s="10" t="s">
        <v>617</v>
      </c>
      <c r="S1201" s="11"/>
      <c r="T1201" s="6"/>
      <c r="U1201" s="28" t="str">
        <f>HYPERLINK("https://media.infra-m.ru/2114/2114307/cover/2114307.jpg", "Обложка")</f>
        <v>Обложка</v>
      </c>
      <c r="V1201" s="28" t="str">
        <f>HYPERLINK("https://znanium.ru/catalog/product/2114307", "Ознакомиться")</f>
        <v>Ознакомиться</v>
      </c>
      <c r="W1201" s="8" t="s">
        <v>743</v>
      </c>
      <c r="X1201" s="6"/>
      <c r="Y1201" s="6"/>
      <c r="Z1201" s="6"/>
      <c r="AA1201" s="6" t="s">
        <v>62</v>
      </c>
    </row>
    <row r="1202" spans="1:27" s="4" customFormat="1" ht="42" customHeight="1">
      <c r="A1202" s="5">
        <v>0</v>
      </c>
      <c r="B1202" s="6" t="s">
        <v>6526</v>
      </c>
      <c r="C1202" s="7">
        <v>2124</v>
      </c>
      <c r="D1202" s="8" t="s">
        <v>6527</v>
      </c>
      <c r="E1202" s="8" t="s">
        <v>6528</v>
      </c>
      <c r="F1202" s="8" t="s">
        <v>6529</v>
      </c>
      <c r="G1202" s="6" t="s">
        <v>58</v>
      </c>
      <c r="H1202" s="6" t="s">
        <v>38</v>
      </c>
      <c r="I1202" s="8"/>
      <c r="J1202" s="9">
        <v>1</v>
      </c>
      <c r="K1202" s="9">
        <v>380</v>
      </c>
      <c r="L1202" s="9">
        <v>2023</v>
      </c>
      <c r="M1202" s="8" t="s">
        <v>6530</v>
      </c>
      <c r="N1202" s="8" t="s">
        <v>40</v>
      </c>
      <c r="O1202" s="8" t="s">
        <v>41</v>
      </c>
      <c r="P1202" s="6" t="s">
        <v>75</v>
      </c>
      <c r="Q1202" s="8" t="s">
        <v>1231</v>
      </c>
      <c r="R1202" s="10" t="s">
        <v>3735</v>
      </c>
      <c r="S1202" s="11"/>
      <c r="T1202" s="6"/>
      <c r="U1202" s="28" t="str">
        <f>HYPERLINK("https://media.infra-m.ru/1877/1877327/cover/1877327.jpg", "Обложка")</f>
        <v>Обложка</v>
      </c>
      <c r="V1202" s="28" t="str">
        <f>HYPERLINK("https://znanium.ru/catalog/product/1877327", "Ознакомиться")</f>
        <v>Ознакомиться</v>
      </c>
      <c r="W1202" s="8" t="s">
        <v>114</v>
      </c>
      <c r="X1202" s="6"/>
      <c r="Y1202" s="6"/>
      <c r="Z1202" s="6"/>
      <c r="AA1202" s="6" t="s">
        <v>417</v>
      </c>
    </row>
    <row r="1203" spans="1:27" s="4" customFormat="1" ht="42" customHeight="1">
      <c r="A1203" s="5">
        <v>0</v>
      </c>
      <c r="B1203" s="6" t="s">
        <v>6531</v>
      </c>
      <c r="C1203" s="7">
        <v>2760</v>
      </c>
      <c r="D1203" s="8" t="s">
        <v>6532</v>
      </c>
      <c r="E1203" s="8" t="s">
        <v>6533</v>
      </c>
      <c r="F1203" s="8" t="s">
        <v>6303</v>
      </c>
      <c r="G1203" s="6" t="s">
        <v>58</v>
      </c>
      <c r="H1203" s="6" t="s">
        <v>84</v>
      </c>
      <c r="I1203" s="8" t="s">
        <v>6534</v>
      </c>
      <c r="J1203" s="9">
        <v>1</v>
      </c>
      <c r="K1203" s="9">
        <v>486</v>
      </c>
      <c r="L1203" s="9">
        <v>2024</v>
      </c>
      <c r="M1203" s="8" t="s">
        <v>6535</v>
      </c>
      <c r="N1203" s="8" t="s">
        <v>40</v>
      </c>
      <c r="O1203" s="8" t="s">
        <v>41</v>
      </c>
      <c r="P1203" s="6" t="s">
        <v>2546</v>
      </c>
      <c r="Q1203" s="8" t="s">
        <v>515</v>
      </c>
      <c r="R1203" s="10" t="s">
        <v>6536</v>
      </c>
      <c r="S1203" s="11"/>
      <c r="T1203" s="6"/>
      <c r="U1203" s="28" t="str">
        <f>HYPERLINK("https://media.infra-m.ru/1876/1876529/cover/1876529.jpg", "Обложка")</f>
        <v>Обложка</v>
      </c>
      <c r="V1203" s="28" t="str">
        <f>HYPERLINK("https://znanium.ru/catalog/product/1876529", "Ознакомиться")</f>
        <v>Ознакомиться</v>
      </c>
      <c r="W1203" s="8" t="s">
        <v>723</v>
      </c>
      <c r="X1203" s="6" t="s">
        <v>391</v>
      </c>
      <c r="Y1203" s="6"/>
      <c r="Z1203" s="6"/>
      <c r="AA1203" s="6" t="s">
        <v>100</v>
      </c>
    </row>
    <row r="1204" spans="1:27" s="4" customFormat="1" ht="44.1" customHeight="1">
      <c r="A1204" s="5">
        <v>0</v>
      </c>
      <c r="B1204" s="6" t="s">
        <v>6537</v>
      </c>
      <c r="C1204" s="7">
        <v>2021.9</v>
      </c>
      <c r="D1204" s="8" t="s">
        <v>6538</v>
      </c>
      <c r="E1204" s="8" t="s">
        <v>6539</v>
      </c>
      <c r="F1204" s="8" t="s">
        <v>3557</v>
      </c>
      <c r="G1204" s="6" t="s">
        <v>58</v>
      </c>
      <c r="H1204" s="6" t="s">
        <v>38</v>
      </c>
      <c r="I1204" s="8"/>
      <c r="J1204" s="9">
        <v>1</v>
      </c>
      <c r="K1204" s="9">
        <v>400</v>
      </c>
      <c r="L1204" s="9">
        <v>2022</v>
      </c>
      <c r="M1204" s="8" t="s">
        <v>6540</v>
      </c>
      <c r="N1204" s="8" t="s">
        <v>40</v>
      </c>
      <c r="O1204" s="8" t="s">
        <v>41</v>
      </c>
      <c r="P1204" s="6" t="s">
        <v>42</v>
      </c>
      <c r="Q1204" s="8" t="s">
        <v>43</v>
      </c>
      <c r="R1204" s="10" t="s">
        <v>749</v>
      </c>
      <c r="S1204" s="11"/>
      <c r="T1204" s="6"/>
      <c r="U1204" s="28" t="str">
        <f>HYPERLINK("https://media.infra-m.ru/1875/1875343/cover/1875343.jpg", "Обложка")</f>
        <v>Обложка</v>
      </c>
      <c r="V1204" s="28" t="str">
        <f>HYPERLINK("https://znanium.ru/catalog/product/988309", "Ознакомиться")</f>
        <v>Ознакомиться</v>
      </c>
      <c r="W1204" s="8" t="s">
        <v>743</v>
      </c>
      <c r="X1204" s="6"/>
      <c r="Y1204" s="6"/>
      <c r="Z1204" s="6"/>
      <c r="AA1204" s="6" t="s">
        <v>655</v>
      </c>
    </row>
    <row r="1205" spans="1:27" s="4" customFormat="1" ht="51.95" customHeight="1">
      <c r="A1205" s="5">
        <v>0</v>
      </c>
      <c r="B1205" s="6" t="s">
        <v>6541</v>
      </c>
      <c r="C1205" s="7">
        <v>1032</v>
      </c>
      <c r="D1205" s="8" t="s">
        <v>6542</v>
      </c>
      <c r="E1205" s="8" t="s">
        <v>6543</v>
      </c>
      <c r="F1205" s="8" t="s">
        <v>6544</v>
      </c>
      <c r="G1205" s="6" t="s">
        <v>37</v>
      </c>
      <c r="H1205" s="6" t="s">
        <v>38</v>
      </c>
      <c r="I1205" s="8"/>
      <c r="J1205" s="9">
        <v>1</v>
      </c>
      <c r="K1205" s="9">
        <v>192</v>
      </c>
      <c r="L1205" s="9">
        <v>2023</v>
      </c>
      <c r="M1205" s="8" t="s">
        <v>6545</v>
      </c>
      <c r="N1205" s="8" t="s">
        <v>40</v>
      </c>
      <c r="O1205" s="8" t="s">
        <v>41</v>
      </c>
      <c r="P1205" s="6" t="s">
        <v>42</v>
      </c>
      <c r="Q1205" s="8" t="s">
        <v>43</v>
      </c>
      <c r="R1205" s="10" t="s">
        <v>77</v>
      </c>
      <c r="S1205" s="11"/>
      <c r="T1205" s="6"/>
      <c r="U1205" s="28" t="str">
        <f>HYPERLINK("https://media.infra-m.ru/1973/1973508/cover/1973508.jpg", "Обложка")</f>
        <v>Обложка</v>
      </c>
      <c r="V1205" s="28" t="str">
        <f>HYPERLINK("https://znanium.ru/catalog/product/1973508", "Ознакомиться")</f>
        <v>Ознакомиться</v>
      </c>
      <c r="W1205" s="8" t="s">
        <v>114</v>
      </c>
      <c r="X1205" s="6"/>
      <c r="Y1205" s="6"/>
      <c r="Z1205" s="6"/>
      <c r="AA1205" s="6" t="s">
        <v>79</v>
      </c>
    </row>
    <row r="1206" spans="1:27" s="4" customFormat="1" ht="51.95" customHeight="1">
      <c r="A1206" s="5">
        <v>0</v>
      </c>
      <c r="B1206" s="6" t="s">
        <v>6546</v>
      </c>
      <c r="C1206" s="7">
        <v>1704</v>
      </c>
      <c r="D1206" s="8" t="s">
        <v>6547</v>
      </c>
      <c r="E1206" s="8" t="s">
        <v>6548</v>
      </c>
      <c r="F1206" s="8" t="s">
        <v>6549</v>
      </c>
      <c r="G1206" s="6" t="s">
        <v>37</v>
      </c>
      <c r="H1206" s="6" t="s">
        <v>52</v>
      </c>
      <c r="I1206" s="8" t="s">
        <v>120</v>
      </c>
      <c r="J1206" s="9">
        <v>1</v>
      </c>
      <c r="K1206" s="9">
        <v>294</v>
      </c>
      <c r="L1206" s="9">
        <v>2024</v>
      </c>
      <c r="M1206" s="8" t="s">
        <v>6550</v>
      </c>
      <c r="N1206" s="8" t="s">
        <v>40</v>
      </c>
      <c r="O1206" s="8" t="s">
        <v>41</v>
      </c>
      <c r="P1206" s="6" t="s">
        <v>95</v>
      </c>
      <c r="Q1206" s="8" t="s">
        <v>515</v>
      </c>
      <c r="R1206" s="10" t="s">
        <v>6551</v>
      </c>
      <c r="S1206" s="11" t="s">
        <v>6552</v>
      </c>
      <c r="T1206" s="6"/>
      <c r="U1206" s="28" t="str">
        <f>HYPERLINK("https://media.infra-m.ru/2123/2123339/cover/2123339.jpg", "Обложка")</f>
        <v>Обложка</v>
      </c>
      <c r="V1206" s="28" t="str">
        <f>HYPERLINK("https://znanium.ru/catalog/product/2123339", "Ознакомиться")</f>
        <v>Ознакомиться</v>
      </c>
      <c r="W1206" s="8" t="s">
        <v>6553</v>
      </c>
      <c r="X1206" s="6"/>
      <c r="Y1206" s="6"/>
      <c r="Z1206" s="6"/>
      <c r="AA1206" s="6" t="s">
        <v>2188</v>
      </c>
    </row>
    <row r="1207" spans="1:27" s="4" customFormat="1" ht="51.95" customHeight="1">
      <c r="A1207" s="5">
        <v>0</v>
      </c>
      <c r="B1207" s="6" t="s">
        <v>6554</v>
      </c>
      <c r="C1207" s="13">
        <v>533.9</v>
      </c>
      <c r="D1207" s="8" t="s">
        <v>6555</v>
      </c>
      <c r="E1207" s="8" t="s">
        <v>6556</v>
      </c>
      <c r="F1207" s="8" t="s">
        <v>6549</v>
      </c>
      <c r="G1207" s="6" t="s">
        <v>51</v>
      </c>
      <c r="H1207" s="6" t="s">
        <v>52</v>
      </c>
      <c r="I1207" s="8" t="s">
        <v>3084</v>
      </c>
      <c r="J1207" s="9">
        <v>1</v>
      </c>
      <c r="K1207" s="9">
        <v>152</v>
      </c>
      <c r="L1207" s="9">
        <v>2022</v>
      </c>
      <c r="M1207" s="8" t="s">
        <v>6557</v>
      </c>
      <c r="N1207" s="8" t="s">
        <v>40</v>
      </c>
      <c r="O1207" s="8" t="s">
        <v>41</v>
      </c>
      <c r="P1207" s="6" t="s">
        <v>75</v>
      </c>
      <c r="Q1207" s="8" t="s">
        <v>76</v>
      </c>
      <c r="R1207" s="10" t="s">
        <v>6558</v>
      </c>
      <c r="S1207" s="11"/>
      <c r="T1207" s="6"/>
      <c r="U1207" s="28" t="str">
        <f>HYPERLINK("https://media.infra-m.ru/1946/1946195/cover/1946195.jpg", "Обложка")</f>
        <v>Обложка</v>
      </c>
      <c r="V1207" s="28" t="str">
        <f>HYPERLINK("https://znanium.ru/catalog/product/1925515", "Ознакомиться")</f>
        <v>Ознакомиться</v>
      </c>
      <c r="W1207" s="8" t="s">
        <v>6553</v>
      </c>
      <c r="X1207" s="6"/>
      <c r="Y1207" s="6"/>
      <c r="Z1207" s="6"/>
      <c r="AA1207" s="6" t="s">
        <v>214</v>
      </c>
    </row>
    <row r="1208" spans="1:27" s="4" customFormat="1" ht="51.95" customHeight="1">
      <c r="A1208" s="5">
        <v>0</v>
      </c>
      <c r="B1208" s="6" t="s">
        <v>6559</v>
      </c>
      <c r="C1208" s="7">
        <v>1301.9000000000001</v>
      </c>
      <c r="D1208" s="8" t="s">
        <v>6560</v>
      </c>
      <c r="E1208" s="8" t="s">
        <v>6561</v>
      </c>
      <c r="F1208" s="8" t="s">
        <v>6562</v>
      </c>
      <c r="G1208" s="6" t="s">
        <v>51</v>
      </c>
      <c r="H1208" s="6" t="s">
        <v>38</v>
      </c>
      <c r="I1208" s="8"/>
      <c r="J1208" s="9">
        <v>1</v>
      </c>
      <c r="K1208" s="9">
        <v>288</v>
      </c>
      <c r="L1208" s="9">
        <v>2023</v>
      </c>
      <c r="M1208" s="8" t="s">
        <v>6563</v>
      </c>
      <c r="N1208" s="8" t="s">
        <v>40</v>
      </c>
      <c r="O1208" s="8" t="s">
        <v>41</v>
      </c>
      <c r="P1208" s="6" t="s">
        <v>75</v>
      </c>
      <c r="Q1208" s="8" t="s">
        <v>76</v>
      </c>
      <c r="R1208" s="10" t="s">
        <v>6564</v>
      </c>
      <c r="S1208" s="11"/>
      <c r="T1208" s="6"/>
      <c r="U1208" s="28" t="str">
        <f>HYPERLINK("https://media.infra-m.ru/1907/1907133/cover/1907133.jpg", "Обложка")</f>
        <v>Обложка</v>
      </c>
      <c r="V1208" s="28" t="str">
        <f>HYPERLINK("https://znanium.ru/catalog/product/1843628", "Ознакомиться")</f>
        <v>Ознакомиться</v>
      </c>
      <c r="W1208" s="8" t="s">
        <v>6565</v>
      </c>
      <c r="X1208" s="6"/>
      <c r="Y1208" s="6"/>
      <c r="Z1208" s="6"/>
      <c r="AA1208" s="6" t="s">
        <v>424</v>
      </c>
    </row>
    <row r="1209" spans="1:27" s="4" customFormat="1" ht="51.95" customHeight="1">
      <c r="A1209" s="5">
        <v>0</v>
      </c>
      <c r="B1209" s="6" t="s">
        <v>6566</v>
      </c>
      <c r="C1209" s="7">
        <v>2880</v>
      </c>
      <c r="D1209" s="8" t="s">
        <v>6567</v>
      </c>
      <c r="E1209" s="8" t="s">
        <v>6568</v>
      </c>
      <c r="F1209" s="8" t="s">
        <v>6569</v>
      </c>
      <c r="G1209" s="6" t="s">
        <v>37</v>
      </c>
      <c r="H1209" s="6" t="s">
        <v>38</v>
      </c>
      <c r="I1209" s="8"/>
      <c r="J1209" s="9">
        <v>1</v>
      </c>
      <c r="K1209" s="9">
        <v>688</v>
      </c>
      <c r="L1209" s="9">
        <v>2023</v>
      </c>
      <c r="M1209" s="8" t="s">
        <v>6570</v>
      </c>
      <c r="N1209" s="8" t="s">
        <v>40</v>
      </c>
      <c r="O1209" s="8" t="s">
        <v>41</v>
      </c>
      <c r="P1209" s="6" t="s">
        <v>95</v>
      </c>
      <c r="Q1209" s="8" t="s">
        <v>1231</v>
      </c>
      <c r="R1209" s="10" t="s">
        <v>6571</v>
      </c>
      <c r="S1209" s="11"/>
      <c r="T1209" s="6"/>
      <c r="U1209" s="28" t="str">
        <f>HYPERLINK("https://media.infra-m.ru/1999/1999881/cover/1999881.jpg", "Обложка")</f>
        <v>Обложка</v>
      </c>
      <c r="V1209" s="28" t="str">
        <f>HYPERLINK("https://znanium.ru/catalog/product/1977970", "Ознакомиться")</f>
        <v>Ознакомиться</v>
      </c>
      <c r="W1209" s="8" t="s">
        <v>6096</v>
      </c>
      <c r="X1209" s="6"/>
      <c r="Y1209" s="6"/>
      <c r="Z1209" s="6"/>
      <c r="AA1209" s="6" t="s">
        <v>115</v>
      </c>
    </row>
    <row r="1210" spans="1:27" s="4" customFormat="1" ht="51.95" customHeight="1">
      <c r="A1210" s="5">
        <v>0</v>
      </c>
      <c r="B1210" s="6" t="s">
        <v>6572</v>
      </c>
      <c r="C1210" s="7">
        <v>2380.8000000000002</v>
      </c>
      <c r="D1210" s="8" t="s">
        <v>6573</v>
      </c>
      <c r="E1210" s="8" t="s">
        <v>6574</v>
      </c>
      <c r="F1210" s="8" t="s">
        <v>6575</v>
      </c>
      <c r="G1210" s="6" t="s">
        <v>58</v>
      </c>
      <c r="H1210" s="6" t="s">
        <v>38</v>
      </c>
      <c r="I1210" s="8"/>
      <c r="J1210" s="9">
        <v>1</v>
      </c>
      <c r="K1210" s="9">
        <v>432</v>
      </c>
      <c r="L1210" s="9">
        <v>2024</v>
      </c>
      <c r="M1210" s="8" t="s">
        <v>6576</v>
      </c>
      <c r="N1210" s="8" t="s">
        <v>40</v>
      </c>
      <c r="O1210" s="8" t="s">
        <v>41</v>
      </c>
      <c r="P1210" s="6" t="s">
        <v>95</v>
      </c>
      <c r="Q1210" s="8" t="s">
        <v>76</v>
      </c>
      <c r="R1210" s="10" t="s">
        <v>6564</v>
      </c>
      <c r="S1210" s="11" t="s">
        <v>6577</v>
      </c>
      <c r="T1210" s="6"/>
      <c r="U1210" s="28" t="str">
        <f>HYPERLINK("https://media.infra-m.ru/2106/2106643/cover/2106643.jpg", "Обложка")</f>
        <v>Обложка</v>
      </c>
      <c r="V1210" s="28" t="str">
        <f>HYPERLINK("https://znanium.ru/catalog/product/1859237", "Ознакомиться")</f>
        <v>Ознакомиться</v>
      </c>
      <c r="W1210" s="8" t="s">
        <v>6096</v>
      </c>
      <c r="X1210" s="6"/>
      <c r="Y1210" s="6"/>
      <c r="Z1210" s="6"/>
      <c r="AA1210" s="6" t="s">
        <v>3069</v>
      </c>
    </row>
    <row r="1211" spans="1:27" s="4" customFormat="1" ht="51.95" customHeight="1">
      <c r="A1211" s="5">
        <v>0</v>
      </c>
      <c r="B1211" s="6" t="s">
        <v>6578</v>
      </c>
      <c r="C1211" s="7">
        <v>1469.9</v>
      </c>
      <c r="D1211" s="8" t="s">
        <v>6579</v>
      </c>
      <c r="E1211" s="8" t="s">
        <v>6580</v>
      </c>
      <c r="F1211" s="8" t="s">
        <v>6581</v>
      </c>
      <c r="G1211" s="6" t="s">
        <v>37</v>
      </c>
      <c r="H1211" s="6" t="s">
        <v>38</v>
      </c>
      <c r="I1211" s="8"/>
      <c r="J1211" s="9">
        <v>1</v>
      </c>
      <c r="K1211" s="9">
        <v>272</v>
      </c>
      <c r="L1211" s="9">
        <v>2022</v>
      </c>
      <c r="M1211" s="8" t="s">
        <v>6582</v>
      </c>
      <c r="N1211" s="8" t="s">
        <v>40</v>
      </c>
      <c r="O1211" s="8" t="s">
        <v>41</v>
      </c>
      <c r="P1211" s="6" t="s">
        <v>2003</v>
      </c>
      <c r="Q1211" s="8" t="s">
        <v>76</v>
      </c>
      <c r="R1211" s="10" t="s">
        <v>4002</v>
      </c>
      <c r="S1211" s="11"/>
      <c r="T1211" s="6"/>
      <c r="U1211" s="28" t="str">
        <f>HYPERLINK("https://media.infra-m.ru/1914/1914647/cover/1914647.jpg", "Обложка")</f>
        <v>Обложка</v>
      </c>
      <c r="V1211" s="28" t="str">
        <f>HYPERLINK("https://znanium.ru/catalog/product/1898744", "Ознакомиться")</f>
        <v>Ознакомиться</v>
      </c>
      <c r="W1211" s="8" t="s">
        <v>114</v>
      </c>
      <c r="X1211" s="6"/>
      <c r="Y1211" s="6"/>
      <c r="Z1211" s="6"/>
      <c r="AA1211" s="6" t="s">
        <v>148</v>
      </c>
    </row>
    <row r="1212" spans="1:27" s="4" customFormat="1" ht="42" customHeight="1">
      <c r="A1212" s="5">
        <v>0</v>
      </c>
      <c r="B1212" s="6" t="s">
        <v>6583</v>
      </c>
      <c r="C1212" s="13">
        <v>785.9</v>
      </c>
      <c r="D1212" s="8" t="s">
        <v>6584</v>
      </c>
      <c r="E1212" s="8" t="s">
        <v>6585</v>
      </c>
      <c r="F1212" s="8" t="s">
        <v>6586</v>
      </c>
      <c r="G1212" s="6" t="s">
        <v>51</v>
      </c>
      <c r="H1212" s="6" t="s">
        <v>84</v>
      </c>
      <c r="I1212" s="8" t="s">
        <v>85</v>
      </c>
      <c r="J1212" s="9">
        <v>1</v>
      </c>
      <c r="K1212" s="9">
        <v>168</v>
      </c>
      <c r="L1212" s="9">
        <v>2022</v>
      </c>
      <c r="M1212" s="8" t="s">
        <v>6587</v>
      </c>
      <c r="N1212" s="8" t="s">
        <v>40</v>
      </c>
      <c r="O1212" s="8" t="s">
        <v>41</v>
      </c>
      <c r="P1212" s="6" t="s">
        <v>841</v>
      </c>
      <c r="Q1212" s="8" t="s">
        <v>43</v>
      </c>
      <c r="R1212" s="10" t="s">
        <v>350</v>
      </c>
      <c r="S1212" s="11"/>
      <c r="T1212" s="6"/>
      <c r="U1212" s="28" t="str">
        <f>HYPERLINK("https://media.infra-m.ru/1861/1861790/cover/1861790.jpg", "Обложка")</f>
        <v>Обложка</v>
      </c>
      <c r="V1212" s="28" t="str">
        <f>HYPERLINK("https://znanium.ru/catalog/product/1045778", "Ознакомиться")</f>
        <v>Ознакомиться</v>
      </c>
      <c r="W1212" s="8" t="s">
        <v>45</v>
      </c>
      <c r="X1212" s="6"/>
      <c r="Y1212" s="6"/>
      <c r="Z1212" s="6"/>
      <c r="AA1212" s="6" t="s">
        <v>148</v>
      </c>
    </row>
    <row r="1213" spans="1:27" s="4" customFormat="1" ht="42" customHeight="1">
      <c r="A1213" s="5">
        <v>0</v>
      </c>
      <c r="B1213" s="6" t="s">
        <v>6588</v>
      </c>
      <c r="C1213" s="7">
        <v>2392.8000000000002</v>
      </c>
      <c r="D1213" s="8" t="s">
        <v>6589</v>
      </c>
      <c r="E1213" s="8" t="s">
        <v>6590</v>
      </c>
      <c r="F1213" s="8" t="s">
        <v>1436</v>
      </c>
      <c r="G1213" s="6" t="s">
        <v>58</v>
      </c>
      <c r="H1213" s="6" t="s">
        <v>38</v>
      </c>
      <c r="I1213" s="8"/>
      <c r="J1213" s="9">
        <v>1</v>
      </c>
      <c r="K1213" s="9">
        <v>432</v>
      </c>
      <c r="L1213" s="9">
        <v>2024</v>
      </c>
      <c r="M1213" s="8" t="s">
        <v>6591</v>
      </c>
      <c r="N1213" s="8" t="s">
        <v>40</v>
      </c>
      <c r="O1213" s="8" t="s">
        <v>41</v>
      </c>
      <c r="P1213" s="6" t="s">
        <v>42</v>
      </c>
      <c r="Q1213" s="8" t="s">
        <v>43</v>
      </c>
      <c r="R1213" s="10" t="s">
        <v>350</v>
      </c>
      <c r="S1213" s="11"/>
      <c r="T1213" s="6"/>
      <c r="U1213" s="28" t="str">
        <f>HYPERLINK("https://media.infra-m.ru/1862/1862615/cover/1862615.jpg", "Обложка")</f>
        <v>Обложка</v>
      </c>
      <c r="V1213" s="28" t="str">
        <f>HYPERLINK("https://znanium.ru/catalog/product/1085677", "Ознакомиться")</f>
        <v>Ознакомиться</v>
      </c>
      <c r="W1213" s="8" t="s">
        <v>45</v>
      </c>
      <c r="X1213" s="6"/>
      <c r="Y1213" s="6"/>
      <c r="Z1213" s="6"/>
      <c r="AA1213" s="6" t="s">
        <v>148</v>
      </c>
    </row>
    <row r="1214" spans="1:27" s="4" customFormat="1" ht="51.95" customHeight="1">
      <c r="A1214" s="5">
        <v>0</v>
      </c>
      <c r="B1214" s="6" t="s">
        <v>6592</v>
      </c>
      <c r="C1214" s="7">
        <v>3180</v>
      </c>
      <c r="D1214" s="8" t="s">
        <v>6593</v>
      </c>
      <c r="E1214" s="8" t="s">
        <v>6594</v>
      </c>
      <c r="F1214" s="8" t="s">
        <v>6595</v>
      </c>
      <c r="G1214" s="6" t="s">
        <v>37</v>
      </c>
      <c r="H1214" s="6" t="s">
        <v>38</v>
      </c>
      <c r="I1214" s="8"/>
      <c r="J1214" s="9">
        <v>1</v>
      </c>
      <c r="K1214" s="9">
        <v>632</v>
      </c>
      <c r="L1214" s="9">
        <v>2023</v>
      </c>
      <c r="M1214" s="8" t="s">
        <v>6596</v>
      </c>
      <c r="N1214" s="8" t="s">
        <v>40</v>
      </c>
      <c r="O1214" s="8" t="s">
        <v>41</v>
      </c>
      <c r="P1214" s="6" t="s">
        <v>95</v>
      </c>
      <c r="Q1214" s="8" t="s">
        <v>76</v>
      </c>
      <c r="R1214" s="10" t="s">
        <v>6597</v>
      </c>
      <c r="S1214" s="11" t="s">
        <v>6598</v>
      </c>
      <c r="T1214" s="6"/>
      <c r="U1214" s="28" t="str">
        <f>HYPERLINK("https://media.infra-m.ru/1977/1977066/cover/1977066.jpg", "Обложка")</f>
        <v>Обложка</v>
      </c>
      <c r="V1214" s="28" t="str">
        <f>HYPERLINK("https://znanium.ru/catalog/product/1904576", "Ознакомиться")</f>
        <v>Ознакомиться</v>
      </c>
      <c r="W1214" s="8" t="s">
        <v>6553</v>
      </c>
      <c r="X1214" s="6"/>
      <c r="Y1214" s="6"/>
      <c r="Z1214" s="6"/>
      <c r="AA1214" s="6" t="s">
        <v>6147</v>
      </c>
    </row>
    <row r="1215" spans="1:27" s="4" customFormat="1" ht="51.95" customHeight="1">
      <c r="A1215" s="5">
        <v>0</v>
      </c>
      <c r="B1215" s="6" t="s">
        <v>6599</v>
      </c>
      <c r="C1215" s="7">
        <v>2572.8000000000002</v>
      </c>
      <c r="D1215" s="8" t="s">
        <v>6600</v>
      </c>
      <c r="E1215" s="8" t="s">
        <v>6601</v>
      </c>
      <c r="F1215" s="8" t="s">
        <v>6602</v>
      </c>
      <c r="G1215" s="6" t="s">
        <v>58</v>
      </c>
      <c r="H1215" s="6" t="s">
        <v>38</v>
      </c>
      <c r="I1215" s="8"/>
      <c r="J1215" s="9">
        <v>1</v>
      </c>
      <c r="K1215" s="9">
        <v>528</v>
      </c>
      <c r="L1215" s="9">
        <v>2023</v>
      </c>
      <c r="M1215" s="8" t="s">
        <v>6603</v>
      </c>
      <c r="N1215" s="8" t="s">
        <v>40</v>
      </c>
      <c r="O1215" s="8" t="s">
        <v>41</v>
      </c>
      <c r="P1215" s="6" t="s">
        <v>95</v>
      </c>
      <c r="Q1215" s="8" t="s">
        <v>76</v>
      </c>
      <c r="R1215" s="10" t="s">
        <v>168</v>
      </c>
      <c r="S1215" s="11"/>
      <c r="T1215" s="6"/>
      <c r="U1215" s="28" t="str">
        <f>HYPERLINK("https://media.infra-m.ru/2132/2132554/cover/2132554.jpg", "Обложка")</f>
        <v>Обложка</v>
      </c>
      <c r="V1215" s="28" t="str">
        <f>HYPERLINK("https://znanium.ru/catalog/product/1860856", "Ознакомиться")</f>
        <v>Ознакомиться</v>
      </c>
      <c r="W1215" s="8" t="s">
        <v>114</v>
      </c>
      <c r="X1215" s="6"/>
      <c r="Y1215" s="6"/>
      <c r="Z1215" s="6"/>
      <c r="AA1215" s="6" t="s">
        <v>148</v>
      </c>
    </row>
    <row r="1216" spans="1:27" s="4" customFormat="1" ht="51.95" customHeight="1">
      <c r="A1216" s="5">
        <v>0</v>
      </c>
      <c r="B1216" s="6" t="s">
        <v>6604</v>
      </c>
      <c r="C1216" s="13">
        <v>924</v>
      </c>
      <c r="D1216" s="8" t="s">
        <v>6605</v>
      </c>
      <c r="E1216" s="8" t="s">
        <v>6606</v>
      </c>
      <c r="F1216" s="8" t="s">
        <v>6607</v>
      </c>
      <c r="G1216" s="6" t="s">
        <v>37</v>
      </c>
      <c r="H1216" s="6" t="s">
        <v>84</v>
      </c>
      <c r="I1216" s="8" t="s">
        <v>1173</v>
      </c>
      <c r="J1216" s="9">
        <v>1</v>
      </c>
      <c r="K1216" s="9">
        <v>167</v>
      </c>
      <c r="L1216" s="9">
        <v>2024</v>
      </c>
      <c r="M1216" s="8" t="s">
        <v>6608</v>
      </c>
      <c r="N1216" s="8" t="s">
        <v>40</v>
      </c>
      <c r="O1216" s="8" t="s">
        <v>41</v>
      </c>
      <c r="P1216" s="6" t="s">
        <v>75</v>
      </c>
      <c r="Q1216" s="8" t="s">
        <v>1231</v>
      </c>
      <c r="R1216" s="10" t="s">
        <v>6609</v>
      </c>
      <c r="S1216" s="11" t="s">
        <v>6610</v>
      </c>
      <c r="T1216" s="6"/>
      <c r="U1216" s="28" t="str">
        <f>HYPERLINK("https://media.infra-m.ru/2129/2129665/cover/2129665.jpg", "Обложка")</f>
        <v>Обложка</v>
      </c>
      <c r="V1216" s="28" t="str">
        <f>HYPERLINK("https://znanium.ru/catalog/product/2129665", "Ознакомиться")</f>
        <v>Ознакомиться</v>
      </c>
      <c r="W1216" s="8" t="s">
        <v>6611</v>
      </c>
      <c r="X1216" s="6"/>
      <c r="Y1216" s="6"/>
      <c r="Z1216" s="6"/>
      <c r="AA1216" s="6" t="s">
        <v>353</v>
      </c>
    </row>
    <row r="1217" spans="1:27" s="4" customFormat="1" ht="51.95" customHeight="1">
      <c r="A1217" s="5">
        <v>0</v>
      </c>
      <c r="B1217" s="6" t="s">
        <v>6612</v>
      </c>
      <c r="C1217" s="7">
        <v>1176</v>
      </c>
      <c r="D1217" s="8" t="s">
        <v>6613</v>
      </c>
      <c r="E1217" s="8" t="s">
        <v>6614</v>
      </c>
      <c r="F1217" s="8" t="s">
        <v>6615</v>
      </c>
      <c r="G1217" s="6" t="s">
        <v>37</v>
      </c>
      <c r="H1217" s="6" t="s">
        <v>84</v>
      </c>
      <c r="I1217" s="8" t="s">
        <v>1173</v>
      </c>
      <c r="J1217" s="9">
        <v>1</v>
      </c>
      <c r="K1217" s="9">
        <v>200</v>
      </c>
      <c r="L1217" s="9">
        <v>2024</v>
      </c>
      <c r="M1217" s="8" t="s">
        <v>6616</v>
      </c>
      <c r="N1217" s="8" t="s">
        <v>40</v>
      </c>
      <c r="O1217" s="8" t="s">
        <v>41</v>
      </c>
      <c r="P1217" s="6" t="s">
        <v>95</v>
      </c>
      <c r="Q1217" s="8" t="s">
        <v>1231</v>
      </c>
      <c r="R1217" s="10" t="s">
        <v>6617</v>
      </c>
      <c r="S1217" s="11" t="s">
        <v>6618</v>
      </c>
      <c r="T1217" s="6"/>
      <c r="U1217" s="28" t="str">
        <f>HYPERLINK("https://media.infra-m.ru/2094/2094389/cover/2094389.jpg", "Обложка")</f>
        <v>Обложка</v>
      </c>
      <c r="V1217" s="28" t="str">
        <f>HYPERLINK("https://znanium.ru/catalog/product/2094389", "Ознакомиться")</f>
        <v>Ознакомиться</v>
      </c>
      <c r="W1217" s="8" t="s">
        <v>6611</v>
      </c>
      <c r="X1217" s="6"/>
      <c r="Y1217" s="6"/>
      <c r="Z1217" s="6"/>
      <c r="AA1217" s="6" t="s">
        <v>62</v>
      </c>
    </row>
    <row r="1218" spans="1:27" s="4" customFormat="1" ht="42" customHeight="1">
      <c r="A1218" s="5">
        <v>0</v>
      </c>
      <c r="B1218" s="6" t="s">
        <v>6619</v>
      </c>
      <c r="C1218" s="7">
        <v>2844</v>
      </c>
      <c r="D1218" s="8" t="s">
        <v>6620</v>
      </c>
      <c r="E1218" s="8" t="s">
        <v>6614</v>
      </c>
      <c r="F1218" s="8" t="s">
        <v>6621</v>
      </c>
      <c r="G1218" s="6" t="s">
        <v>58</v>
      </c>
      <c r="H1218" s="6" t="s">
        <v>84</v>
      </c>
      <c r="I1218" s="8" t="s">
        <v>1173</v>
      </c>
      <c r="J1218" s="9">
        <v>1</v>
      </c>
      <c r="K1218" s="9">
        <v>515</v>
      </c>
      <c r="L1218" s="9">
        <v>2024</v>
      </c>
      <c r="M1218" s="8" t="s">
        <v>6622</v>
      </c>
      <c r="N1218" s="8" t="s">
        <v>40</v>
      </c>
      <c r="O1218" s="8" t="s">
        <v>41</v>
      </c>
      <c r="P1218" s="6" t="s">
        <v>75</v>
      </c>
      <c r="Q1218" s="8" t="s">
        <v>1231</v>
      </c>
      <c r="R1218" s="10" t="s">
        <v>6609</v>
      </c>
      <c r="S1218" s="11"/>
      <c r="T1218" s="6"/>
      <c r="U1218" s="28" t="str">
        <f>HYPERLINK("https://media.infra-m.ru/1910/1910863/cover/1910863.jpg", "Обложка")</f>
        <v>Обложка</v>
      </c>
      <c r="V1218" s="28" t="str">
        <f>HYPERLINK("https://znanium.ru/catalog/product/1910863", "Ознакомиться")</f>
        <v>Ознакомиться</v>
      </c>
      <c r="W1218" s="8" t="s">
        <v>723</v>
      </c>
      <c r="X1218" s="6" t="s">
        <v>264</v>
      </c>
      <c r="Y1218" s="6"/>
      <c r="Z1218" s="6"/>
      <c r="AA1218" s="6" t="s">
        <v>100</v>
      </c>
    </row>
    <row r="1219" spans="1:27" s="4" customFormat="1" ht="42" customHeight="1">
      <c r="A1219" s="5">
        <v>0</v>
      </c>
      <c r="B1219" s="6" t="s">
        <v>6623</v>
      </c>
      <c r="C1219" s="13">
        <v>959.9</v>
      </c>
      <c r="D1219" s="8" t="s">
        <v>6624</v>
      </c>
      <c r="E1219" s="8" t="s">
        <v>6625</v>
      </c>
      <c r="F1219" s="8" t="s">
        <v>1859</v>
      </c>
      <c r="G1219" s="6"/>
      <c r="H1219" s="6" t="s">
        <v>410</v>
      </c>
      <c r="I1219" s="8"/>
      <c r="J1219" s="9">
        <v>8</v>
      </c>
      <c r="K1219" s="9">
        <v>736</v>
      </c>
      <c r="L1219" s="9">
        <v>2015</v>
      </c>
      <c r="M1219" s="8" t="s">
        <v>6626</v>
      </c>
      <c r="N1219" s="8" t="s">
        <v>40</v>
      </c>
      <c r="O1219" s="8" t="s">
        <v>41</v>
      </c>
      <c r="P1219" s="6" t="s">
        <v>95</v>
      </c>
      <c r="Q1219" s="8" t="s">
        <v>43</v>
      </c>
      <c r="R1219" s="10" t="s">
        <v>308</v>
      </c>
      <c r="S1219" s="11"/>
      <c r="T1219" s="6"/>
      <c r="U1219" s="28" t="str">
        <f>HYPERLINK("https://media.infra-m.ru/0501/0501090/cover/501090.jpg", "Обложка")</f>
        <v>Обложка</v>
      </c>
      <c r="V1219" s="28" t="str">
        <f>HYPERLINK("https://znanium.ru/catalog/product/2084592", "Ознакомиться")</f>
        <v>Ознакомиться</v>
      </c>
      <c r="W1219" s="8" t="s">
        <v>114</v>
      </c>
      <c r="X1219" s="6"/>
      <c r="Y1219" s="6"/>
      <c r="Z1219" s="6"/>
      <c r="AA1219" s="6" t="s">
        <v>3034</v>
      </c>
    </row>
    <row r="1220" spans="1:27" s="4" customFormat="1" ht="42" customHeight="1">
      <c r="A1220" s="5">
        <v>0</v>
      </c>
      <c r="B1220" s="6" t="s">
        <v>6627</v>
      </c>
      <c r="C1220" s="7">
        <v>3180</v>
      </c>
      <c r="D1220" s="8" t="s">
        <v>6628</v>
      </c>
      <c r="E1220" s="8" t="s">
        <v>6629</v>
      </c>
      <c r="F1220" s="8" t="s">
        <v>3061</v>
      </c>
      <c r="G1220" s="6" t="s">
        <v>58</v>
      </c>
      <c r="H1220" s="6" t="s">
        <v>38</v>
      </c>
      <c r="I1220" s="8"/>
      <c r="J1220" s="9">
        <v>1</v>
      </c>
      <c r="K1220" s="9">
        <v>576</v>
      </c>
      <c r="L1220" s="9">
        <v>2024</v>
      </c>
      <c r="M1220" s="8" t="s">
        <v>6630</v>
      </c>
      <c r="N1220" s="8" t="s">
        <v>40</v>
      </c>
      <c r="O1220" s="8" t="s">
        <v>41</v>
      </c>
      <c r="P1220" s="6" t="s">
        <v>42</v>
      </c>
      <c r="Q1220" s="8" t="s">
        <v>43</v>
      </c>
      <c r="R1220" s="10" t="s">
        <v>308</v>
      </c>
      <c r="S1220" s="11"/>
      <c r="T1220" s="6"/>
      <c r="U1220" s="28" t="str">
        <f>HYPERLINK("https://media.infra-m.ru/2084/2084592/cover/2084592.jpg", "Обложка")</f>
        <v>Обложка</v>
      </c>
      <c r="V1220" s="28" t="str">
        <f>HYPERLINK("https://znanium.ru/catalog/product/2084592", "Ознакомиться")</f>
        <v>Ознакомиться</v>
      </c>
      <c r="W1220" s="8" t="s">
        <v>114</v>
      </c>
      <c r="X1220" s="6"/>
      <c r="Y1220" s="6"/>
      <c r="Z1220" s="6"/>
      <c r="AA1220" s="6" t="s">
        <v>1219</v>
      </c>
    </row>
    <row r="1221" spans="1:27" s="4" customFormat="1" ht="42" customHeight="1">
      <c r="A1221" s="5">
        <v>0</v>
      </c>
      <c r="B1221" s="6" t="s">
        <v>6631</v>
      </c>
      <c r="C1221" s="7">
        <v>2220</v>
      </c>
      <c r="D1221" s="8" t="s">
        <v>6632</v>
      </c>
      <c r="E1221" s="8" t="s">
        <v>6633</v>
      </c>
      <c r="F1221" s="8" t="s">
        <v>6634</v>
      </c>
      <c r="G1221" s="6" t="s">
        <v>58</v>
      </c>
      <c r="H1221" s="6" t="s">
        <v>84</v>
      </c>
      <c r="I1221" s="8" t="s">
        <v>1173</v>
      </c>
      <c r="J1221" s="9">
        <v>1</v>
      </c>
      <c r="K1221" s="9">
        <v>377</v>
      </c>
      <c r="L1221" s="9">
        <v>2023</v>
      </c>
      <c r="M1221" s="8" t="s">
        <v>6635</v>
      </c>
      <c r="N1221" s="8" t="s">
        <v>40</v>
      </c>
      <c r="O1221" s="8" t="s">
        <v>41</v>
      </c>
      <c r="P1221" s="6" t="s">
        <v>95</v>
      </c>
      <c r="Q1221" s="8" t="s">
        <v>515</v>
      </c>
      <c r="R1221" s="10" t="s">
        <v>6636</v>
      </c>
      <c r="S1221" s="11"/>
      <c r="T1221" s="6"/>
      <c r="U1221" s="28" t="str">
        <f>HYPERLINK("https://media.infra-m.ru/1904/1904326/cover/1904326.jpg", "Обложка")</f>
        <v>Обложка</v>
      </c>
      <c r="V1221" s="28" t="str">
        <f>HYPERLINK("https://znanium.ru/catalog/product/1904326", "Ознакомиться")</f>
        <v>Ознакомиться</v>
      </c>
      <c r="W1221" s="8" t="s">
        <v>3737</v>
      </c>
      <c r="X1221" s="6" t="s">
        <v>498</v>
      </c>
      <c r="Y1221" s="6"/>
      <c r="Z1221" s="6"/>
      <c r="AA1221" s="6" t="s">
        <v>417</v>
      </c>
    </row>
    <row r="1222" spans="1:27" s="4" customFormat="1" ht="51.95" customHeight="1">
      <c r="A1222" s="5">
        <v>0</v>
      </c>
      <c r="B1222" s="6" t="s">
        <v>6637</v>
      </c>
      <c r="C1222" s="7">
        <v>2640</v>
      </c>
      <c r="D1222" s="8" t="s">
        <v>6638</v>
      </c>
      <c r="E1222" s="8" t="s">
        <v>6639</v>
      </c>
      <c r="F1222" s="8" t="s">
        <v>6640</v>
      </c>
      <c r="G1222" s="6" t="s">
        <v>58</v>
      </c>
      <c r="H1222" s="6" t="s">
        <v>38</v>
      </c>
      <c r="I1222" s="8"/>
      <c r="J1222" s="9">
        <v>1</v>
      </c>
      <c r="K1222" s="9">
        <v>480</v>
      </c>
      <c r="L1222" s="9">
        <v>2023</v>
      </c>
      <c r="M1222" s="8" t="s">
        <v>6641</v>
      </c>
      <c r="N1222" s="8" t="s">
        <v>40</v>
      </c>
      <c r="O1222" s="8" t="s">
        <v>41</v>
      </c>
      <c r="P1222" s="6" t="s">
        <v>42</v>
      </c>
      <c r="Q1222" s="8" t="s">
        <v>76</v>
      </c>
      <c r="R1222" s="10" t="s">
        <v>469</v>
      </c>
      <c r="S1222" s="11" t="s">
        <v>6642</v>
      </c>
      <c r="T1222" s="6"/>
      <c r="U1222" s="28" t="str">
        <f>HYPERLINK("https://media.infra-m.ru/2051/2051288/cover/2051288.jpg", "Обложка")</f>
        <v>Обложка</v>
      </c>
      <c r="V1222" s="28" t="str">
        <f>HYPERLINK("https://znanium.ru/catalog/product/2051288", "Ознакомиться")</f>
        <v>Ознакомиться</v>
      </c>
      <c r="W1222" s="8" t="s">
        <v>743</v>
      </c>
      <c r="X1222" s="6"/>
      <c r="Y1222" s="6"/>
      <c r="Z1222" s="6"/>
      <c r="AA1222" s="6" t="s">
        <v>724</v>
      </c>
    </row>
    <row r="1223" spans="1:27" s="4" customFormat="1" ht="42" customHeight="1">
      <c r="A1223" s="5">
        <v>0</v>
      </c>
      <c r="B1223" s="6" t="s">
        <v>6643</v>
      </c>
      <c r="C1223" s="7">
        <v>2160</v>
      </c>
      <c r="D1223" s="8" t="s">
        <v>6644</v>
      </c>
      <c r="E1223" s="8" t="s">
        <v>6645</v>
      </c>
      <c r="F1223" s="8" t="s">
        <v>6646</v>
      </c>
      <c r="G1223" s="6" t="s">
        <v>58</v>
      </c>
      <c r="H1223" s="6" t="s">
        <v>38</v>
      </c>
      <c r="I1223" s="8"/>
      <c r="J1223" s="9">
        <v>1</v>
      </c>
      <c r="K1223" s="9">
        <v>384</v>
      </c>
      <c r="L1223" s="9">
        <v>2024</v>
      </c>
      <c r="M1223" s="8" t="s">
        <v>6647</v>
      </c>
      <c r="N1223" s="8" t="s">
        <v>40</v>
      </c>
      <c r="O1223" s="8" t="s">
        <v>41</v>
      </c>
      <c r="P1223" s="6" t="s">
        <v>42</v>
      </c>
      <c r="Q1223" s="8" t="s">
        <v>43</v>
      </c>
      <c r="R1223" s="10" t="s">
        <v>69</v>
      </c>
      <c r="S1223" s="11"/>
      <c r="T1223" s="6"/>
      <c r="U1223" s="28" t="str">
        <f>HYPERLINK("https://media.infra-m.ru/2134/2134343/cover/2134343.jpg", "Обложка")</f>
        <v>Обложка</v>
      </c>
      <c r="V1223" s="28" t="str">
        <f>HYPERLINK("https://znanium.ru/catalog/product/2134343", "Ознакомиться")</f>
        <v>Ознакомиться</v>
      </c>
      <c r="W1223" s="8" t="s">
        <v>236</v>
      </c>
      <c r="X1223" s="6" t="s">
        <v>2400</v>
      </c>
      <c r="Y1223" s="6"/>
      <c r="Z1223" s="6"/>
      <c r="AA1223" s="6" t="s">
        <v>100</v>
      </c>
    </row>
    <row r="1224" spans="1:27" s="4" customFormat="1" ht="42" customHeight="1">
      <c r="A1224" s="5">
        <v>0</v>
      </c>
      <c r="B1224" s="6" t="s">
        <v>6648</v>
      </c>
      <c r="C1224" s="7">
        <v>1500</v>
      </c>
      <c r="D1224" s="8" t="s">
        <v>6649</v>
      </c>
      <c r="E1224" s="8" t="s">
        <v>6650</v>
      </c>
      <c r="F1224" s="8" t="s">
        <v>6651</v>
      </c>
      <c r="G1224" s="6" t="s">
        <v>37</v>
      </c>
      <c r="H1224" s="6" t="s">
        <v>84</v>
      </c>
      <c r="I1224" s="8" t="s">
        <v>1173</v>
      </c>
      <c r="J1224" s="9">
        <v>1</v>
      </c>
      <c r="K1224" s="9">
        <v>244</v>
      </c>
      <c r="L1224" s="9">
        <v>2023</v>
      </c>
      <c r="M1224" s="8" t="s">
        <v>6652</v>
      </c>
      <c r="N1224" s="8" t="s">
        <v>40</v>
      </c>
      <c r="O1224" s="8" t="s">
        <v>41</v>
      </c>
      <c r="P1224" s="6" t="s">
        <v>95</v>
      </c>
      <c r="Q1224" s="8" t="s">
        <v>1231</v>
      </c>
      <c r="R1224" s="10" t="s">
        <v>3735</v>
      </c>
      <c r="S1224" s="11"/>
      <c r="T1224" s="6"/>
      <c r="U1224" s="28" t="str">
        <f>HYPERLINK("https://media.infra-m.ru/2132/2132490/cover/2132490.jpg", "Обложка")</f>
        <v>Обложка</v>
      </c>
      <c r="V1224" s="28" t="str">
        <f>HYPERLINK("https://znanium.ru/catalog/product/2132490", "Ознакомиться")</f>
        <v>Ознакомиться</v>
      </c>
      <c r="W1224" s="8" t="s">
        <v>3139</v>
      </c>
      <c r="X1224" s="6"/>
      <c r="Y1224" s="6"/>
      <c r="Z1224" s="6"/>
      <c r="AA1224" s="6" t="s">
        <v>417</v>
      </c>
    </row>
    <row r="1225" spans="1:27" s="4" customFormat="1" ht="51.95" customHeight="1">
      <c r="A1225" s="5">
        <v>0</v>
      </c>
      <c r="B1225" s="6" t="s">
        <v>6653</v>
      </c>
      <c r="C1225" s="7">
        <v>1728</v>
      </c>
      <c r="D1225" s="8" t="s">
        <v>6654</v>
      </c>
      <c r="E1225" s="8" t="s">
        <v>6655</v>
      </c>
      <c r="F1225" s="8" t="s">
        <v>6656</v>
      </c>
      <c r="G1225" s="6" t="s">
        <v>37</v>
      </c>
      <c r="H1225" s="6" t="s">
        <v>38</v>
      </c>
      <c r="I1225" s="8"/>
      <c r="J1225" s="9">
        <v>1</v>
      </c>
      <c r="K1225" s="9">
        <v>320</v>
      </c>
      <c r="L1225" s="9">
        <v>2023</v>
      </c>
      <c r="M1225" s="8" t="s">
        <v>6657</v>
      </c>
      <c r="N1225" s="8" t="s">
        <v>40</v>
      </c>
      <c r="O1225" s="8" t="s">
        <v>41</v>
      </c>
      <c r="P1225" s="6" t="s">
        <v>95</v>
      </c>
      <c r="Q1225" s="8" t="s">
        <v>157</v>
      </c>
      <c r="R1225" s="10" t="s">
        <v>6658</v>
      </c>
      <c r="S1225" s="11"/>
      <c r="T1225" s="6"/>
      <c r="U1225" s="28" t="str">
        <f>HYPERLINK("https://media.infra-m.ru/1911/1911023/cover/1911023.jpg", "Обложка")</f>
        <v>Обложка</v>
      </c>
      <c r="V1225" s="28" t="str">
        <f>HYPERLINK("https://znanium.ru/catalog/product/1911023", "Ознакомиться")</f>
        <v>Ознакомиться</v>
      </c>
      <c r="W1225" s="8" t="s">
        <v>114</v>
      </c>
      <c r="X1225" s="6"/>
      <c r="Y1225" s="6"/>
      <c r="Z1225" s="6"/>
      <c r="AA1225" s="6" t="s">
        <v>115</v>
      </c>
    </row>
    <row r="1226" spans="1:27" s="4" customFormat="1" ht="51.95" customHeight="1">
      <c r="A1226" s="5">
        <v>0</v>
      </c>
      <c r="B1226" s="6" t="s">
        <v>6659</v>
      </c>
      <c r="C1226" s="7">
        <v>1068</v>
      </c>
      <c r="D1226" s="8" t="s">
        <v>6660</v>
      </c>
      <c r="E1226" s="8" t="s">
        <v>6661</v>
      </c>
      <c r="F1226" s="8" t="s">
        <v>6662</v>
      </c>
      <c r="G1226" s="6" t="s">
        <v>58</v>
      </c>
      <c r="H1226" s="6" t="s">
        <v>84</v>
      </c>
      <c r="I1226" s="8" t="s">
        <v>250</v>
      </c>
      <c r="J1226" s="9">
        <v>1</v>
      </c>
      <c r="K1226" s="9">
        <v>188</v>
      </c>
      <c r="L1226" s="9">
        <v>2024</v>
      </c>
      <c r="M1226" s="8" t="s">
        <v>6663</v>
      </c>
      <c r="N1226" s="8" t="s">
        <v>40</v>
      </c>
      <c r="O1226" s="8" t="s">
        <v>41</v>
      </c>
      <c r="P1226" s="6" t="s">
        <v>42</v>
      </c>
      <c r="Q1226" s="8" t="s">
        <v>43</v>
      </c>
      <c r="R1226" s="10" t="s">
        <v>1105</v>
      </c>
      <c r="S1226" s="11"/>
      <c r="T1226" s="6"/>
      <c r="U1226" s="28" t="str">
        <f>HYPERLINK("https://media.infra-m.ru/1959/1959242/cover/1959242.jpg", "Обложка")</f>
        <v>Обложка</v>
      </c>
      <c r="V1226" s="28" t="str">
        <f>HYPERLINK("https://znanium.ru/catalog/product/1959242", "Ознакомиться")</f>
        <v>Ознакомиться</v>
      </c>
      <c r="W1226" s="8" t="s">
        <v>6664</v>
      </c>
      <c r="X1226" s="6" t="s">
        <v>264</v>
      </c>
      <c r="Y1226" s="6"/>
      <c r="Z1226" s="6"/>
      <c r="AA1226" s="6" t="s">
        <v>100</v>
      </c>
    </row>
    <row r="1227" spans="1:27" s="4" customFormat="1" ht="51.95" customHeight="1">
      <c r="A1227" s="5">
        <v>0</v>
      </c>
      <c r="B1227" s="6" t="s">
        <v>6665</v>
      </c>
      <c r="C1227" s="7">
        <v>1380</v>
      </c>
      <c r="D1227" s="8" t="s">
        <v>6666</v>
      </c>
      <c r="E1227" s="8" t="s">
        <v>6667</v>
      </c>
      <c r="F1227" s="8" t="s">
        <v>6668</v>
      </c>
      <c r="G1227" s="6" t="s">
        <v>51</v>
      </c>
      <c r="H1227" s="6" t="s">
        <v>38</v>
      </c>
      <c r="I1227" s="8" t="s">
        <v>6669</v>
      </c>
      <c r="J1227" s="9">
        <v>1</v>
      </c>
      <c r="K1227" s="9">
        <v>256</v>
      </c>
      <c r="L1227" s="9">
        <v>2023</v>
      </c>
      <c r="M1227" s="8" t="s">
        <v>6670</v>
      </c>
      <c r="N1227" s="8" t="s">
        <v>40</v>
      </c>
      <c r="O1227" s="8" t="s">
        <v>41</v>
      </c>
      <c r="P1227" s="6" t="s">
        <v>977</v>
      </c>
      <c r="Q1227" s="8" t="s">
        <v>43</v>
      </c>
      <c r="R1227" s="10" t="s">
        <v>6671</v>
      </c>
      <c r="S1227" s="11"/>
      <c r="T1227" s="6"/>
      <c r="U1227" s="28" t="str">
        <f>HYPERLINK("https://media.infra-m.ru/1919/1919497/cover/1919497.jpg", "Обложка")</f>
        <v>Обложка</v>
      </c>
      <c r="V1227" s="28" t="str">
        <f>HYPERLINK("https://znanium.ru/catalog/product/1919497", "Ознакомиться")</f>
        <v>Ознакомиться</v>
      </c>
      <c r="W1227" s="8" t="s">
        <v>6096</v>
      </c>
      <c r="X1227" s="6"/>
      <c r="Y1227" s="6"/>
      <c r="Z1227" s="6"/>
      <c r="AA1227" s="6" t="s">
        <v>724</v>
      </c>
    </row>
    <row r="1228" spans="1:27" s="4" customFormat="1" ht="51.95" customHeight="1">
      <c r="A1228" s="5">
        <v>0</v>
      </c>
      <c r="B1228" s="6" t="s">
        <v>6672</v>
      </c>
      <c r="C1228" s="7">
        <v>1068</v>
      </c>
      <c r="D1228" s="8" t="s">
        <v>6673</v>
      </c>
      <c r="E1228" s="8" t="s">
        <v>6674</v>
      </c>
      <c r="F1228" s="8" t="s">
        <v>6675</v>
      </c>
      <c r="G1228" s="6" t="s">
        <v>37</v>
      </c>
      <c r="H1228" s="6" t="s">
        <v>84</v>
      </c>
      <c r="I1228" s="8" t="s">
        <v>184</v>
      </c>
      <c r="J1228" s="9">
        <v>1</v>
      </c>
      <c r="K1228" s="9">
        <v>197</v>
      </c>
      <c r="L1228" s="9">
        <v>2020</v>
      </c>
      <c r="M1228" s="8" t="s">
        <v>6676</v>
      </c>
      <c r="N1228" s="8" t="s">
        <v>40</v>
      </c>
      <c r="O1228" s="8" t="s">
        <v>41</v>
      </c>
      <c r="P1228" s="6" t="s">
        <v>75</v>
      </c>
      <c r="Q1228" s="8" t="s">
        <v>76</v>
      </c>
      <c r="R1228" s="10" t="s">
        <v>113</v>
      </c>
      <c r="S1228" s="11" t="s">
        <v>6677</v>
      </c>
      <c r="T1228" s="6"/>
      <c r="U1228" s="28" t="str">
        <f>HYPERLINK("https://media.infra-m.ru/1947/1947366/cover/1947366.jpg", "Обложка")</f>
        <v>Обложка</v>
      </c>
      <c r="V1228" s="28" t="str">
        <f>HYPERLINK("https://znanium.ru/catalog/product/1031595", "Ознакомиться")</f>
        <v>Ознакомиться</v>
      </c>
      <c r="W1228" s="8" t="s">
        <v>6355</v>
      </c>
      <c r="X1228" s="6"/>
      <c r="Y1228" s="6"/>
      <c r="Z1228" s="6"/>
      <c r="AA1228" s="6" t="s">
        <v>115</v>
      </c>
    </row>
    <row r="1229" spans="1:27" s="4" customFormat="1" ht="51.95" customHeight="1">
      <c r="A1229" s="5">
        <v>0</v>
      </c>
      <c r="B1229" s="6" t="s">
        <v>6678</v>
      </c>
      <c r="C1229" s="7">
        <v>2165.9</v>
      </c>
      <c r="D1229" s="8" t="s">
        <v>6679</v>
      </c>
      <c r="E1229" s="8" t="s">
        <v>6680</v>
      </c>
      <c r="F1229" s="8" t="s">
        <v>1859</v>
      </c>
      <c r="G1229" s="6" t="s">
        <v>58</v>
      </c>
      <c r="H1229" s="6" t="s">
        <v>38</v>
      </c>
      <c r="I1229" s="8"/>
      <c r="J1229" s="9">
        <v>1</v>
      </c>
      <c r="K1229" s="9">
        <v>400</v>
      </c>
      <c r="L1229" s="9">
        <v>2023</v>
      </c>
      <c r="M1229" s="8" t="s">
        <v>6681</v>
      </c>
      <c r="N1229" s="8" t="s">
        <v>40</v>
      </c>
      <c r="O1229" s="8" t="s">
        <v>41</v>
      </c>
      <c r="P1229" s="6" t="s">
        <v>95</v>
      </c>
      <c r="Q1229" s="8" t="s">
        <v>2124</v>
      </c>
      <c r="R1229" s="10" t="s">
        <v>6682</v>
      </c>
      <c r="S1229" s="11"/>
      <c r="T1229" s="6"/>
      <c r="U1229" s="28" t="str">
        <f>HYPERLINK("https://media.infra-m.ru/2002/2002643/cover/2002643.jpg", "Обложка")</f>
        <v>Обложка</v>
      </c>
      <c r="V1229" s="28" t="str">
        <f>HYPERLINK("https://znanium.ru/catalog/product/1227539", "Ознакомиться")</f>
        <v>Ознакомиться</v>
      </c>
      <c r="W1229" s="8" t="s">
        <v>114</v>
      </c>
      <c r="X1229" s="6"/>
      <c r="Y1229" s="6"/>
      <c r="Z1229" s="6"/>
      <c r="AA1229" s="6" t="s">
        <v>148</v>
      </c>
    </row>
    <row r="1230" spans="1:27" s="4" customFormat="1" ht="44.1" customHeight="1">
      <c r="A1230" s="5">
        <v>0</v>
      </c>
      <c r="B1230" s="6" t="s">
        <v>6683</v>
      </c>
      <c r="C1230" s="7">
        <v>1944</v>
      </c>
      <c r="D1230" s="8" t="s">
        <v>6684</v>
      </c>
      <c r="E1230" s="8" t="s">
        <v>6685</v>
      </c>
      <c r="F1230" s="8" t="s">
        <v>6686</v>
      </c>
      <c r="G1230" s="6" t="s">
        <v>37</v>
      </c>
      <c r="H1230" s="6" t="s">
        <v>38</v>
      </c>
      <c r="I1230" s="8"/>
      <c r="J1230" s="9">
        <v>1</v>
      </c>
      <c r="K1230" s="9">
        <v>344</v>
      </c>
      <c r="L1230" s="9">
        <v>2024</v>
      </c>
      <c r="M1230" s="8" t="s">
        <v>6687</v>
      </c>
      <c r="N1230" s="8" t="s">
        <v>40</v>
      </c>
      <c r="O1230" s="8" t="s">
        <v>41</v>
      </c>
      <c r="P1230" s="6" t="s">
        <v>42</v>
      </c>
      <c r="Q1230" s="8" t="s">
        <v>43</v>
      </c>
      <c r="R1230" s="10" t="s">
        <v>1327</v>
      </c>
      <c r="S1230" s="11"/>
      <c r="T1230" s="6"/>
      <c r="U1230" s="28" t="str">
        <f>HYPERLINK("https://media.infra-m.ru/2151/2151927/cover/2151927.jpg", "Обложка")</f>
        <v>Обложка</v>
      </c>
      <c r="V1230" s="28" t="str">
        <f>HYPERLINK("https://znanium.ru/catalog/product/2151927", "Ознакомиться")</f>
        <v>Ознакомиться</v>
      </c>
      <c r="W1230" s="8" t="s">
        <v>743</v>
      </c>
      <c r="X1230" s="6"/>
      <c r="Y1230" s="6"/>
      <c r="Z1230" s="6"/>
      <c r="AA1230" s="6" t="s">
        <v>62</v>
      </c>
    </row>
    <row r="1231" spans="1:27" s="4" customFormat="1" ht="51.95" customHeight="1">
      <c r="A1231" s="5">
        <v>0</v>
      </c>
      <c r="B1231" s="6" t="s">
        <v>6688</v>
      </c>
      <c r="C1231" s="13">
        <v>912</v>
      </c>
      <c r="D1231" s="8" t="s">
        <v>6689</v>
      </c>
      <c r="E1231" s="8" t="s">
        <v>6690</v>
      </c>
      <c r="F1231" s="8" t="s">
        <v>6691</v>
      </c>
      <c r="G1231" s="6" t="s">
        <v>37</v>
      </c>
      <c r="H1231" s="6" t="s">
        <v>38</v>
      </c>
      <c r="I1231" s="8"/>
      <c r="J1231" s="9">
        <v>1</v>
      </c>
      <c r="K1231" s="9">
        <v>160</v>
      </c>
      <c r="L1231" s="9">
        <v>2024</v>
      </c>
      <c r="M1231" s="8" t="s">
        <v>6692</v>
      </c>
      <c r="N1231" s="8" t="s">
        <v>40</v>
      </c>
      <c r="O1231" s="8" t="s">
        <v>41</v>
      </c>
      <c r="P1231" s="6" t="s">
        <v>75</v>
      </c>
      <c r="Q1231" s="8" t="s">
        <v>157</v>
      </c>
      <c r="R1231" s="10" t="s">
        <v>122</v>
      </c>
      <c r="S1231" s="11"/>
      <c r="T1231" s="6"/>
      <c r="U1231" s="28" t="str">
        <f>HYPERLINK("https://media.infra-m.ru/2142/2142334/cover/2142334.jpg", "Обложка")</f>
        <v>Обложка</v>
      </c>
      <c r="V1231" s="28" t="str">
        <f>HYPERLINK("https://znanium.ru/catalog/product/2142334", "Ознакомиться")</f>
        <v>Ознакомиться</v>
      </c>
      <c r="W1231" s="8" t="s">
        <v>114</v>
      </c>
      <c r="X1231" s="6"/>
      <c r="Y1231" s="6"/>
      <c r="Z1231" s="6"/>
      <c r="AA1231" s="6" t="s">
        <v>46</v>
      </c>
    </row>
    <row r="1232" spans="1:27" s="4" customFormat="1" ht="42" customHeight="1">
      <c r="A1232" s="5">
        <v>0</v>
      </c>
      <c r="B1232" s="6" t="s">
        <v>6693</v>
      </c>
      <c r="C1232" s="7">
        <v>2332.8000000000002</v>
      </c>
      <c r="D1232" s="8" t="s">
        <v>6694</v>
      </c>
      <c r="E1232" s="8" t="s">
        <v>6695</v>
      </c>
      <c r="F1232" s="8" t="s">
        <v>6696</v>
      </c>
      <c r="G1232" s="6" t="s">
        <v>58</v>
      </c>
      <c r="H1232" s="6" t="s">
        <v>38</v>
      </c>
      <c r="I1232" s="8"/>
      <c r="J1232" s="9">
        <v>1</v>
      </c>
      <c r="K1232" s="9">
        <v>528</v>
      </c>
      <c r="L1232" s="9">
        <v>2024</v>
      </c>
      <c r="M1232" s="8" t="s">
        <v>6697</v>
      </c>
      <c r="N1232" s="8" t="s">
        <v>40</v>
      </c>
      <c r="O1232" s="8" t="s">
        <v>41</v>
      </c>
      <c r="P1232" s="6" t="s">
        <v>42</v>
      </c>
      <c r="Q1232" s="8" t="s">
        <v>43</v>
      </c>
      <c r="R1232" s="10" t="s">
        <v>314</v>
      </c>
      <c r="S1232" s="11"/>
      <c r="T1232" s="6"/>
      <c r="U1232" s="28" t="str">
        <f>HYPERLINK("https://media.infra-m.ru/2131/2131531/cover/2131531.jpg", "Обложка")</f>
        <v>Обложка</v>
      </c>
      <c r="V1232" s="28" t="str">
        <f>HYPERLINK("https://znanium.ru/catalog/product/1324341", "Ознакомиться")</f>
        <v>Ознакомиться</v>
      </c>
      <c r="W1232" s="8" t="s">
        <v>236</v>
      </c>
      <c r="X1232" s="6"/>
      <c r="Y1232" s="6"/>
      <c r="Z1232" s="6"/>
      <c r="AA1232" s="6" t="s">
        <v>2490</v>
      </c>
    </row>
    <row r="1233" spans="1:27" s="4" customFormat="1" ht="51.95" customHeight="1">
      <c r="A1233" s="5">
        <v>0</v>
      </c>
      <c r="B1233" s="6" t="s">
        <v>6698</v>
      </c>
      <c r="C1233" s="7">
        <v>1408.8</v>
      </c>
      <c r="D1233" s="8" t="s">
        <v>6699</v>
      </c>
      <c r="E1233" s="8" t="s">
        <v>6700</v>
      </c>
      <c r="F1233" s="8" t="s">
        <v>6701</v>
      </c>
      <c r="G1233" s="6" t="s">
        <v>58</v>
      </c>
      <c r="H1233" s="6" t="s">
        <v>38</v>
      </c>
      <c r="I1233" s="8"/>
      <c r="J1233" s="9">
        <v>1</v>
      </c>
      <c r="K1233" s="9">
        <v>256</v>
      </c>
      <c r="L1233" s="9">
        <v>2023</v>
      </c>
      <c r="M1233" s="8" t="s">
        <v>6702</v>
      </c>
      <c r="N1233" s="8" t="s">
        <v>40</v>
      </c>
      <c r="O1233" s="8" t="s">
        <v>41</v>
      </c>
      <c r="P1233" s="6" t="s">
        <v>42</v>
      </c>
      <c r="Q1233" s="8" t="s">
        <v>43</v>
      </c>
      <c r="R1233" s="10" t="s">
        <v>469</v>
      </c>
      <c r="S1233" s="11"/>
      <c r="T1233" s="6"/>
      <c r="U1233" s="28" t="str">
        <f>HYPERLINK("https://media.infra-m.ru/2096/2096169/cover/2096169.jpg", "Обложка")</f>
        <v>Обложка</v>
      </c>
      <c r="V1233" s="28" t="str">
        <f>HYPERLINK("https://znanium.ru/catalog/product/1022278", "Ознакомиться")</f>
        <v>Ознакомиться</v>
      </c>
      <c r="W1233" s="8" t="s">
        <v>61</v>
      </c>
      <c r="X1233" s="6"/>
      <c r="Y1233" s="6"/>
      <c r="Z1233" s="6"/>
      <c r="AA1233" s="6" t="s">
        <v>46</v>
      </c>
    </row>
    <row r="1234" spans="1:27" s="4" customFormat="1" ht="42" customHeight="1">
      <c r="A1234" s="5">
        <v>0</v>
      </c>
      <c r="B1234" s="6" t="s">
        <v>6703</v>
      </c>
      <c r="C1234" s="7">
        <v>1732.8</v>
      </c>
      <c r="D1234" s="8" t="s">
        <v>6704</v>
      </c>
      <c r="E1234" s="8" t="s">
        <v>6705</v>
      </c>
      <c r="F1234" s="8" t="s">
        <v>3573</v>
      </c>
      <c r="G1234" s="6" t="s">
        <v>37</v>
      </c>
      <c r="H1234" s="6" t="s">
        <v>38</v>
      </c>
      <c r="I1234" s="8"/>
      <c r="J1234" s="9">
        <v>1</v>
      </c>
      <c r="K1234" s="9">
        <v>320</v>
      </c>
      <c r="L1234" s="9">
        <v>2023</v>
      </c>
      <c r="M1234" s="8" t="s">
        <v>6706</v>
      </c>
      <c r="N1234" s="8" t="s">
        <v>40</v>
      </c>
      <c r="O1234" s="8" t="s">
        <v>41</v>
      </c>
      <c r="P1234" s="6" t="s">
        <v>42</v>
      </c>
      <c r="Q1234" s="8" t="s">
        <v>43</v>
      </c>
      <c r="R1234" s="10" t="s">
        <v>308</v>
      </c>
      <c r="S1234" s="11"/>
      <c r="T1234" s="6"/>
      <c r="U1234" s="28" t="str">
        <f>HYPERLINK("https://media.infra-m.ru/1920/1920349/cover/1920349.jpg", "Обложка")</f>
        <v>Обложка</v>
      </c>
      <c r="V1234" s="28" t="str">
        <f>HYPERLINK("https://znanium.ru/catalog/product/1857920", "Ознакомиться")</f>
        <v>Ознакомиться</v>
      </c>
      <c r="W1234" s="8" t="s">
        <v>78</v>
      </c>
      <c r="X1234" s="6"/>
      <c r="Y1234" s="6"/>
      <c r="Z1234" s="6"/>
      <c r="AA1234" s="6" t="s">
        <v>79</v>
      </c>
    </row>
    <row r="1235" spans="1:27" s="4" customFormat="1" ht="51.95" customHeight="1">
      <c r="A1235" s="5">
        <v>0</v>
      </c>
      <c r="B1235" s="6" t="s">
        <v>6707</v>
      </c>
      <c r="C1235" s="7">
        <v>1049.9000000000001</v>
      </c>
      <c r="D1235" s="8" t="s">
        <v>6708</v>
      </c>
      <c r="E1235" s="8" t="s">
        <v>6709</v>
      </c>
      <c r="F1235" s="8" t="s">
        <v>6710</v>
      </c>
      <c r="G1235" s="6" t="s">
        <v>58</v>
      </c>
      <c r="H1235" s="6" t="s">
        <v>38</v>
      </c>
      <c r="I1235" s="8"/>
      <c r="J1235" s="9">
        <v>1</v>
      </c>
      <c r="K1235" s="9">
        <v>256</v>
      </c>
      <c r="L1235" s="9">
        <v>2019</v>
      </c>
      <c r="M1235" s="8" t="s">
        <v>6711</v>
      </c>
      <c r="N1235" s="8" t="s">
        <v>40</v>
      </c>
      <c r="O1235" s="8" t="s">
        <v>41</v>
      </c>
      <c r="P1235" s="6" t="s">
        <v>6712</v>
      </c>
      <c r="Q1235" s="8" t="s">
        <v>43</v>
      </c>
      <c r="R1235" s="10" t="s">
        <v>2801</v>
      </c>
      <c r="S1235" s="11"/>
      <c r="T1235" s="6"/>
      <c r="U1235" s="28" t="str">
        <f>HYPERLINK("https://media.infra-m.ru/0988/0988093/cover/988093.jpg", "Обложка")</f>
        <v>Обложка</v>
      </c>
      <c r="V1235" s="28" t="str">
        <f>HYPERLINK("https://znanium.ru/catalog/product/1221174", "Ознакомиться")</f>
        <v>Ознакомиться</v>
      </c>
      <c r="W1235" s="8" t="s">
        <v>78</v>
      </c>
      <c r="X1235" s="6"/>
      <c r="Y1235" s="6"/>
      <c r="Z1235" s="6"/>
      <c r="AA1235" s="6" t="s">
        <v>431</v>
      </c>
    </row>
    <row r="1236" spans="1:27" s="4" customFormat="1" ht="44.1" customHeight="1">
      <c r="A1236" s="5">
        <v>0</v>
      </c>
      <c r="B1236" s="6" t="s">
        <v>6713</v>
      </c>
      <c r="C1236" s="7">
        <v>1901.9</v>
      </c>
      <c r="D1236" s="8" t="s">
        <v>6714</v>
      </c>
      <c r="E1236" s="8" t="s">
        <v>6715</v>
      </c>
      <c r="F1236" s="8" t="s">
        <v>6716</v>
      </c>
      <c r="G1236" s="6" t="s">
        <v>51</v>
      </c>
      <c r="H1236" s="6" t="s">
        <v>38</v>
      </c>
      <c r="I1236" s="8"/>
      <c r="J1236" s="9">
        <v>1</v>
      </c>
      <c r="K1236" s="9">
        <v>352</v>
      </c>
      <c r="L1236" s="9">
        <v>2023</v>
      </c>
      <c r="M1236" s="8" t="s">
        <v>6717</v>
      </c>
      <c r="N1236" s="8" t="s">
        <v>40</v>
      </c>
      <c r="O1236" s="8" t="s">
        <v>41</v>
      </c>
      <c r="P1236" s="6" t="s">
        <v>42</v>
      </c>
      <c r="Q1236" s="8" t="s">
        <v>43</v>
      </c>
      <c r="R1236" s="10" t="s">
        <v>1293</v>
      </c>
      <c r="S1236" s="11"/>
      <c r="T1236" s="6"/>
      <c r="U1236" s="28" t="str">
        <f>HYPERLINK("https://media.infra-m.ru/1911/1911190/cover/1911190.jpg", "Обложка")</f>
        <v>Обложка</v>
      </c>
      <c r="V1236" s="28" t="str">
        <f>HYPERLINK("https://znanium.ru/catalog/product/1221172", "Ознакомиться")</f>
        <v>Ознакомиться</v>
      </c>
      <c r="W1236" s="8" t="s">
        <v>78</v>
      </c>
      <c r="X1236" s="6"/>
      <c r="Y1236" s="6"/>
      <c r="Z1236" s="6"/>
      <c r="AA1236" s="6" t="s">
        <v>431</v>
      </c>
    </row>
    <row r="1237" spans="1:27" s="4" customFormat="1" ht="42" customHeight="1">
      <c r="A1237" s="5">
        <v>0</v>
      </c>
      <c r="B1237" s="6" t="s">
        <v>6718</v>
      </c>
      <c r="C1237" s="13">
        <v>540</v>
      </c>
      <c r="D1237" s="8" t="s">
        <v>6719</v>
      </c>
      <c r="E1237" s="8" t="s">
        <v>6720</v>
      </c>
      <c r="F1237" s="8" t="s">
        <v>6721</v>
      </c>
      <c r="G1237" s="6" t="s">
        <v>51</v>
      </c>
      <c r="H1237" s="6" t="s">
        <v>38</v>
      </c>
      <c r="I1237" s="8"/>
      <c r="J1237" s="9">
        <v>1</v>
      </c>
      <c r="K1237" s="9">
        <v>80</v>
      </c>
      <c r="L1237" s="9">
        <v>2022</v>
      </c>
      <c r="M1237" s="8" t="s">
        <v>6722</v>
      </c>
      <c r="N1237" s="8" t="s">
        <v>40</v>
      </c>
      <c r="O1237" s="8" t="s">
        <v>41</v>
      </c>
      <c r="P1237" s="6" t="s">
        <v>75</v>
      </c>
      <c r="Q1237" s="8" t="s">
        <v>76</v>
      </c>
      <c r="R1237" s="10" t="s">
        <v>113</v>
      </c>
      <c r="S1237" s="11"/>
      <c r="T1237" s="6"/>
      <c r="U1237" s="28" t="str">
        <f>HYPERLINK("https://media.infra-m.ru/1859/1859818/cover/1859818.jpg", "Обложка")</f>
        <v>Обложка</v>
      </c>
      <c r="V1237" s="28" t="str">
        <f>HYPERLINK("https://znanium.ru/catalog/product/2129939", "Ознакомиться")</f>
        <v>Ознакомиться</v>
      </c>
      <c r="W1237" s="8" t="s">
        <v>114</v>
      </c>
      <c r="X1237" s="6"/>
      <c r="Y1237" s="6"/>
      <c r="Z1237" s="6"/>
      <c r="AA1237" s="6" t="s">
        <v>115</v>
      </c>
    </row>
    <row r="1238" spans="1:27" s="4" customFormat="1" ht="42" customHeight="1">
      <c r="A1238" s="5">
        <v>0</v>
      </c>
      <c r="B1238" s="6" t="s">
        <v>6723</v>
      </c>
      <c r="C1238" s="13">
        <v>612</v>
      </c>
      <c r="D1238" s="8" t="s">
        <v>6724</v>
      </c>
      <c r="E1238" s="8" t="s">
        <v>6725</v>
      </c>
      <c r="F1238" s="8" t="s">
        <v>6721</v>
      </c>
      <c r="G1238" s="6" t="s">
        <v>51</v>
      </c>
      <c r="H1238" s="6" t="s">
        <v>38</v>
      </c>
      <c r="I1238" s="8"/>
      <c r="J1238" s="9">
        <v>1</v>
      </c>
      <c r="K1238" s="9">
        <v>108</v>
      </c>
      <c r="L1238" s="9">
        <v>2024</v>
      </c>
      <c r="M1238" s="8" t="s">
        <v>6726</v>
      </c>
      <c r="N1238" s="8" t="s">
        <v>40</v>
      </c>
      <c r="O1238" s="8" t="s">
        <v>41</v>
      </c>
      <c r="P1238" s="6" t="s">
        <v>75</v>
      </c>
      <c r="Q1238" s="8" t="s">
        <v>76</v>
      </c>
      <c r="R1238" s="10" t="s">
        <v>113</v>
      </c>
      <c r="S1238" s="11"/>
      <c r="T1238" s="6"/>
      <c r="U1238" s="28" t="str">
        <f>HYPERLINK("https://media.infra-m.ru/2129/2129939/cover/2129939.jpg", "Обложка")</f>
        <v>Обложка</v>
      </c>
      <c r="V1238" s="28" t="str">
        <f>HYPERLINK("https://znanium.ru/catalog/product/2129939", "Ознакомиться")</f>
        <v>Ознакомиться</v>
      </c>
      <c r="W1238" s="8" t="s">
        <v>114</v>
      </c>
      <c r="X1238" s="6"/>
      <c r="Y1238" s="6"/>
      <c r="Z1238" s="6"/>
      <c r="AA1238" s="6" t="s">
        <v>137</v>
      </c>
    </row>
    <row r="1239" spans="1:27" s="4" customFormat="1" ht="51.95" customHeight="1">
      <c r="A1239" s="5">
        <v>0</v>
      </c>
      <c r="B1239" s="6" t="s">
        <v>6727</v>
      </c>
      <c r="C1239" s="13">
        <v>480</v>
      </c>
      <c r="D1239" s="8" t="s">
        <v>6728</v>
      </c>
      <c r="E1239" s="8" t="s">
        <v>6729</v>
      </c>
      <c r="F1239" s="8" t="s">
        <v>6730</v>
      </c>
      <c r="G1239" s="6" t="s">
        <v>51</v>
      </c>
      <c r="H1239" s="6" t="s">
        <v>38</v>
      </c>
      <c r="I1239" s="8"/>
      <c r="J1239" s="9">
        <v>1</v>
      </c>
      <c r="K1239" s="9">
        <v>80</v>
      </c>
      <c r="L1239" s="9">
        <v>2023</v>
      </c>
      <c r="M1239" s="8" t="s">
        <v>6731</v>
      </c>
      <c r="N1239" s="8" t="s">
        <v>40</v>
      </c>
      <c r="O1239" s="8" t="s">
        <v>41</v>
      </c>
      <c r="P1239" s="6" t="s">
        <v>2610</v>
      </c>
      <c r="Q1239" s="8" t="s">
        <v>76</v>
      </c>
      <c r="R1239" s="10" t="s">
        <v>6732</v>
      </c>
      <c r="S1239" s="11"/>
      <c r="T1239" s="6"/>
      <c r="U1239" s="28" t="str">
        <f>HYPERLINK("https://media.infra-m.ru/1911/1911117/cover/1911117.jpg", "Обложка")</f>
        <v>Обложка</v>
      </c>
      <c r="V1239" s="28" t="str">
        <f>HYPERLINK("https://znanium.ru/catalog/product/1911117", "Ознакомиться")</f>
        <v>Ознакомиться</v>
      </c>
      <c r="W1239" s="8" t="s">
        <v>114</v>
      </c>
      <c r="X1239" s="6"/>
      <c r="Y1239" s="6"/>
      <c r="Z1239" s="6"/>
      <c r="AA1239" s="6" t="s">
        <v>79</v>
      </c>
    </row>
    <row r="1240" spans="1:27" s="4" customFormat="1" ht="51.95" customHeight="1">
      <c r="A1240" s="5">
        <v>0</v>
      </c>
      <c r="B1240" s="6" t="s">
        <v>6733</v>
      </c>
      <c r="C1240" s="7">
        <v>1188</v>
      </c>
      <c r="D1240" s="8" t="s">
        <v>6734</v>
      </c>
      <c r="E1240" s="8" t="s">
        <v>6735</v>
      </c>
      <c r="F1240" s="8" t="s">
        <v>6736</v>
      </c>
      <c r="G1240" s="6" t="s">
        <v>37</v>
      </c>
      <c r="H1240" s="6" t="s">
        <v>84</v>
      </c>
      <c r="I1240" s="8" t="s">
        <v>184</v>
      </c>
      <c r="J1240" s="9">
        <v>1</v>
      </c>
      <c r="K1240" s="9">
        <v>235</v>
      </c>
      <c r="L1240" s="9">
        <v>2022</v>
      </c>
      <c r="M1240" s="8" t="s">
        <v>6737</v>
      </c>
      <c r="N1240" s="8" t="s">
        <v>40</v>
      </c>
      <c r="O1240" s="8" t="s">
        <v>41</v>
      </c>
      <c r="P1240" s="6" t="s">
        <v>75</v>
      </c>
      <c r="Q1240" s="8" t="s">
        <v>76</v>
      </c>
      <c r="R1240" s="10" t="s">
        <v>6738</v>
      </c>
      <c r="S1240" s="11" t="s">
        <v>6739</v>
      </c>
      <c r="T1240" s="6"/>
      <c r="U1240" s="28" t="str">
        <f>HYPERLINK("https://media.infra-m.ru/1889/1889069/cover/1889069.jpg", "Обложка")</f>
        <v>Обложка</v>
      </c>
      <c r="V1240" s="28" t="str">
        <f>HYPERLINK("https://znanium.ru/catalog/product/1889069", "Ознакомиться")</f>
        <v>Ознакомиться</v>
      </c>
      <c r="W1240" s="8" t="s">
        <v>6740</v>
      </c>
      <c r="X1240" s="6"/>
      <c r="Y1240" s="6"/>
      <c r="Z1240" s="6"/>
      <c r="AA1240" s="6" t="s">
        <v>62</v>
      </c>
    </row>
    <row r="1241" spans="1:27" s="4" customFormat="1" ht="51.95" customHeight="1">
      <c r="A1241" s="5">
        <v>0</v>
      </c>
      <c r="B1241" s="6" t="s">
        <v>6741</v>
      </c>
      <c r="C1241" s="7">
        <v>1212</v>
      </c>
      <c r="D1241" s="8" t="s">
        <v>6742</v>
      </c>
      <c r="E1241" s="8" t="s">
        <v>6743</v>
      </c>
      <c r="F1241" s="8" t="s">
        <v>3510</v>
      </c>
      <c r="G1241" s="6" t="s">
        <v>37</v>
      </c>
      <c r="H1241" s="6" t="s">
        <v>84</v>
      </c>
      <c r="I1241" s="8" t="s">
        <v>320</v>
      </c>
      <c r="J1241" s="9">
        <v>1</v>
      </c>
      <c r="K1241" s="9">
        <v>223</v>
      </c>
      <c r="L1241" s="9">
        <v>2023</v>
      </c>
      <c r="M1241" s="8" t="s">
        <v>6744</v>
      </c>
      <c r="N1241" s="8" t="s">
        <v>40</v>
      </c>
      <c r="O1241" s="8" t="s">
        <v>41</v>
      </c>
      <c r="P1241" s="6" t="s">
        <v>75</v>
      </c>
      <c r="Q1241" s="8" t="s">
        <v>157</v>
      </c>
      <c r="R1241" s="10" t="s">
        <v>6745</v>
      </c>
      <c r="S1241" s="11" t="s">
        <v>6746</v>
      </c>
      <c r="T1241" s="6"/>
      <c r="U1241" s="28" t="str">
        <f>HYPERLINK("https://media.infra-m.ru/1981/1981723/cover/1981723.jpg", "Обложка")</f>
        <v>Обложка</v>
      </c>
      <c r="V1241" s="28" t="str">
        <f>HYPERLINK("https://znanium.ru/catalog/product/1981723", "Ознакомиться")</f>
        <v>Ознакомиться</v>
      </c>
      <c r="W1241" s="8" t="s">
        <v>124</v>
      </c>
      <c r="X1241" s="6"/>
      <c r="Y1241" s="6"/>
      <c r="Z1241" s="6"/>
      <c r="AA1241" s="6" t="s">
        <v>353</v>
      </c>
    </row>
    <row r="1242" spans="1:27" s="4" customFormat="1" ht="51.95" customHeight="1">
      <c r="A1242" s="5">
        <v>0</v>
      </c>
      <c r="B1242" s="6" t="s">
        <v>6747</v>
      </c>
      <c r="C1242" s="7">
        <v>1096.8</v>
      </c>
      <c r="D1242" s="8" t="s">
        <v>6748</v>
      </c>
      <c r="E1242" s="8" t="s">
        <v>6749</v>
      </c>
      <c r="F1242" s="8" t="s">
        <v>3510</v>
      </c>
      <c r="G1242" s="6" t="s">
        <v>37</v>
      </c>
      <c r="H1242" s="6" t="s">
        <v>84</v>
      </c>
      <c r="I1242" s="8" t="s">
        <v>1173</v>
      </c>
      <c r="J1242" s="9">
        <v>1</v>
      </c>
      <c r="K1242" s="9">
        <v>199</v>
      </c>
      <c r="L1242" s="9">
        <v>2024</v>
      </c>
      <c r="M1242" s="8" t="s">
        <v>6750</v>
      </c>
      <c r="N1242" s="8" t="s">
        <v>40</v>
      </c>
      <c r="O1242" s="8" t="s">
        <v>41</v>
      </c>
      <c r="P1242" s="6" t="s">
        <v>75</v>
      </c>
      <c r="Q1242" s="8" t="s">
        <v>1231</v>
      </c>
      <c r="R1242" s="10" t="s">
        <v>322</v>
      </c>
      <c r="S1242" s="11" t="s">
        <v>6751</v>
      </c>
      <c r="T1242" s="6"/>
      <c r="U1242" s="28" t="str">
        <f>HYPERLINK("https://media.infra-m.ru/2126/2126568/cover/2126568.jpg", "Обложка")</f>
        <v>Обложка</v>
      </c>
      <c r="V1242" s="28" t="str">
        <f>HYPERLINK("https://znanium.ru/catalog/product/1893810", "Ознакомиться")</f>
        <v>Ознакомиться</v>
      </c>
      <c r="W1242" s="8" t="s">
        <v>124</v>
      </c>
      <c r="X1242" s="6"/>
      <c r="Y1242" s="6"/>
      <c r="Z1242" s="6"/>
      <c r="AA1242" s="6" t="s">
        <v>353</v>
      </c>
    </row>
    <row r="1243" spans="1:27" s="4" customFormat="1" ht="51.95" customHeight="1">
      <c r="A1243" s="5">
        <v>0</v>
      </c>
      <c r="B1243" s="6" t="s">
        <v>6752</v>
      </c>
      <c r="C1243" s="7">
        <v>2916</v>
      </c>
      <c r="D1243" s="8" t="s">
        <v>6753</v>
      </c>
      <c r="E1243" s="8" t="s">
        <v>6754</v>
      </c>
      <c r="F1243" s="8" t="s">
        <v>6755</v>
      </c>
      <c r="G1243" s="6" t="s">
        <v>58</v>
      </c>
      <c r="H1243" s="6" t="s">
        <v>84</v>
      </c>
      <c r="I1243" s="8" t="s">
        <v>1173</v>
      </c>
      <c r="J1243" s="9">
        <v>1</v>
      </c>
      <c r="K1243" s="9">
        <v>522</v>
      </c>
      <c r="L1243" s="9">
        <v>2024</v>
      </c>
      <c r="M1243" s="8" t="s">
        <v>6756</v>
      </c>
      <c r="N1243" s="8" t="s">
        <v>40</v>
      </c>
      <c r="O1243" s="8" t="s">
        <v>41</v>
      </c>
      <c r="P1243" s="6" t="s">
        <v>95</v>
      </c>
      <c r="Q1243" s="8" t="s">
        <v>1231</v>
      </c>
      <c r="R1243" s="10" t="s">
        <v>6757</v>
      </c>
      <c r="S1243" s="11"/>
      <c r="T1243" s="6"/>
      <c r="U1243" s="28" t="str">
        <f>HYPERLINK("https://media.infra-m.ru/1911/1911528/cover/1911528.jpg", "Обложка")</f>
        <v>Обложка</v>
      </c>
      <c r="V1243" s="28" t="str">
        <f>HYPERLINK("https://znanium.ru/catalog/product/1911528", "Ознакомиться")</f>
        <v>Ознакомиться</v>
      </c>
      <c r="W1243" s="8" t="s">
        <v>6355</v>
      </c>
      <c r="X1243" s="6" t="s">
        <v>264</v>
      </c>
      <c r="Y1243" s="6"/>
      <c r="Z1243" s="6"/>
      <c r="AA1243" s="6" t="s">
        <v>100</v>
      </c>
    </row>
    <row r="1244" spans="1:27" s="4" customFormat="1" ht="51.95" customHeight="1">
      <c r="A1244" s="5">
        <v>0</v>
      </c>
      <c r="B1244" s="6" t="s">
        <v>6758</v>
      </c>
      <c r="C1244" s="7">
        <v>1673.9</v>
      </c>
      <c r="D1244" s="8" t="s">
        <v>6759</v>
      </c>
      <c r="E1244" s="8" t="s">
        <v>6754</v>
      </c>
      <c r="F1244" s="8" t="s">
        <v>6760</v>
      </c>
      <c r="G1244" s="6" t="s">
        <v>58</v>
      </c>
      <c r="H1244" s="6" t="s">
        <v>1952</v>
      </c>
      <c r="I1244" s="8"/>
      <c r="J1244" s="9">
        <v>1</v>
      </c>
      <c r="K1244" s="9">
        <v>368</v>
      </c>
      <c r="L1244" s="9">
        <v>2022</v>
      </c>
      <c r="M1244" s="8" t="s">
        <v>6761</v>
      </c>
      <c r="N1244" s="8" t="s">
        <v>40</v>
      </c>
      <c r="O1244" s="8" t="s">
        <v>41</v>
      </c>
      <c r="P1244" s="6" t="s">
        <v>95</v>
      </c>
      <c r="Q1244" s="8" t="s">
        <v>76</v>
      </c>
      <c r="R1244" s="10" t="s">
        <v>6762</v>
      </c>
      <c r="S1244" s="11"/>
      <c r="T1244" s="6"/>
      <c r="U1244" s="28" t="str">
        <f>HYPERLINK("https://media.infra-m.ru/1844/1844275/cover/1844275.jpg", "Обложка")</f>
        <v>Обложка</v>
      </c>
      <c r="V1244" s="28" t="str">
        <f>HYPERLINK("https://znanium.ru/catalog/product/1844275", "Ознакомиться")</f>
        <v>Ознакомиться</v>
      </c>
      <c r="W1244" s="8" t="s">
        <v>5986</v>
      </c>
      <c r="X1244" s="6"/>
      <c r="Y1244" s="6"/>
      <c r="Z1244" s="6"/>
      <c r="AA1244" s="6" t="s">
        <v>293</v>
      </c>
    </row>
    <row r="1245" spans="1:27" s="4" customFormat="1" ht="51.95" customHeight="1">
      <c r="A1245" s="5">
        <v>0</v>
      </c>
      <c r="B1245" s="6" t="s">
        <v>6763</v>
      </c>
      <c r="C1245" s="7">
        <v>3192</v>
      </c>
      <c r="D1245" s="8" t="s">
        <v>6764</v>
      </c>
      <c r="E1245" s="8" t="s">
        <v>6765</v>
      </c>
      <c r="F1245" s="8" t="s">
        <v>6766</v>
      </c>
      <c r="G1245" s="6" t="s">
        <v>37</v>
      </c>
      <c r="H1245" s="6" t="s">
        <v>38</v>
      </c>
      <c r="I1245" s="8"/>
      <c r="J1245" s="9">
        <v>1</v>
      </c>
      <c r="K1245" s="9">
        <v>592</v>
      </c>
      <c r="L1245" s="9">
        <v>2023</v>
      </c>
      <c r="M1245" s="8" t="s">
        <v>6767</v>
      </c>
      <c r="N1245" s="8" t="s">
        <v>40</v>
      </c>
      <c r="O1245" s="8" t="s">
        <v>41</v>
      </c>
      <c r="P1245" s="6" t="s">
        <v>75</v>
      </c>
      <c r="Q1245" s="8" t="s">
        <v>76</v>
      </c>
      <c r="R1245" s="10" t="s">
        <v>6768</v>
      </c>
      <c r="S1245" s="11" t="s">
        <v>6769</v>
      </c>
      <c r="T1245" s="6"/>
      <c r="U1245" s="28" t="str">
        <f>HYPERLINK("https://media.infra-m.ru/1902/1902732/cover/1902732.jpg", "Обложка")</f>
        <v>Обложка</v>
      </c>
      <c r="V1245" s="28" t="str">
        <f>HYPERLINK("https://znanium.ru/catalog/product/1902732", "Ознакомиться")</f>
        <v>Ознакомиться</v>
      </c>
      <c r="W1245" s="8" t="s">
        <v>170</v>
      </c>
      <c r="X1245" s="6"/>
      <c r="Y1245" s="6"/>
      <c r="Z1245" s="6"/>
      <c r="AA1245" s="6" t="s">
        <v>673</v>
      </c>
    </row>
    <row r="1246" spans="1:27" s="4" customFormat="1" ht="51.95" customHeight="1">
      <c r="A1246" s="5">
        <v>0</v>
      </c>
      <c r="B1246" s="6" t="s">
        <v>6770</v>
      </c>
      <c r="C1246" s="7">
        <v>1199.9000000000001</v>
      </c>
      <c r="D1246" s="8" t="s">
        <v>6771</v>
      </c>
      <c r="E1246" s="8" t="s">
        <v>6772</v>
      </c>
      <c r="F1246" s="8" t="s">
        <v>6773</v>
      </c>
      <c r="G1246" s="6" t="s">
        <v>51</v>
      </c>
      <c r="H1246" s="6" t="s">
        <v>38</v>
      </c>
      <c r="I1246" s="8"/>
      <c r="J1246" s="9">
        <v>16</v>
      </c>
      <c r="K1246" s="9">
        <v>512</v>
      </c>
      <c r="L1246" s="9">
        <v>2016</v>
      </c>
      <c r="M1246" s="8" t="s">
        <v>6774</v>
      </c>
      <c r="N1246" s="8" t="s">
        <v>40</v>
      </c>
      <c r="O1246" s="8" t="s">
        <v>41</v>
      </c>
      <c r="P1246" s="6" t="s">
        <v>75</v>
      </c>
      <c r="Q1246" s="8" t="s">
        <v>76</v>
      </c>
      <c r="R1246" s="10" t="s">
        <v>6768</v>
      </c>
      <c r="S1246" s="11" t="s">
        <v>6769</v>
      </c>
      <c r="T1246" s="6"/>
      <c r="U1246" s="28" t="str">
        <f>HYPERLINK("https://media.infra-m.ru/0544/0544067/cover/544067.jpg", "Обложка")</f>
        <v>Обложка</v>
      </c>
      <c r="V1246" s="28" t="str">
        <f>HYPERLINK("https://znanium.ru/catalog/product/1902732", "Ознакомиться")</f>
        <v>Ознакомиться</v>
      </c>
      <c r="W1246" s="8" t="s">
        <v>170</v>
      </c>
      <c r="X1246" s="6"/>
      <c r="Y1246" s="6"/>
      <c r="Z1246" s="6"/>
      <c r="AA1246" s="6" t="s">
        <v>3192</v>
      </c>
    </row>
    <row r="1247" spans="1:27" s="4" customFormat="1" ht="42" customHeight="1">
      <c r="A1247" s="5">
        <v>0</v>
      </c>
      <c r="B1247" s="6" t="s">
        <v>6775</v>
      </c>
      <c r="C1247" s="13">
        <v>900</v>
      </c>
      <c r="D1247" s="8" t="s">
        <v>6776</v>
      </c>
      <c r="E1247" s="8" t="s">
        <v>6777</v>
      </c>
      <c r="F1247" s="8" t="s">
        <v>6778</v>
      </c>
      <c r="G1247" s="6" t="s">
        <v>51</v>
      </c>
      <c r="H1247" s="6" t="s">
        <v>84</v>
      </c>
      <c r="I1247" s="8" t="s">
        <v>250</v>
      </c>
      <c r="J1247" s="9">
        <v>1</v>
      </c>
      <c r="K1247" s="9">
        <v>160</v>
      </c>
      <c r="L1247" s="9">
        <v>2023</v>
      </c>
      <c r="M1247" s="8" t="s">
        <v>6779</v>
      </c>
      <c r="N1247" s="8" t="s">
        <v>40</v>
      </c>
      <c r="O1247" s="8" t="s">
        <v>41</v>
      </c>
      <c r="P1247" s="6" t="s">
        <v>42</v>
      </c>
      <c r="Q1247" s="8" t="s">
        <v>43</v>
      </c>
      <c r="R1247" s="10" t="s">
        <v>6780</v>
      </c>
      <c r="S1247" s="11"/>
      <c r="T1247" s="6"/>
      <c r="U1247" s="28" t="str">
        <f>HYPERLINK("https://media.infra-m.ru/1894/1894020/cover/1894020.jpg", "Обложка")</f>
        <v>Обложка</v>
      </c>
      <c r="V1247" s="28" t="str">
        <f>HYPERLINK("https://znanium.ru/catalog/product/1894020", "Ознакомиться")</f>
        <v>Ознакомиться</v>
      </c>
      <c r="W1247" s="8" t="s">
        <v>78</v>
      </c>
      <c r="X1247" s="6"/>
      <c r="Y1247" s="6"/>
      <c r="Z1247" s="6"/>
      <c r="AA1247" s="6" t="s">
        <v>302</v>
      </c>
    </row>
    <row r="1248" spans="1:27" s="4" customFormat="1" ht="51.95" customHeight="1">
      <c r="A1248" s="5">
        <v>0</v>
      </c>
      <c r="B1248" s="6" t="s">
        <v>6781</v>
      </c>
      <c r="C1248" s="7">
        <v>1188</v>
      </c>
      <c r="D1248" s="8" t="s">
        <v>6782</v>
      </c>
      <c r="E1248" s="8" t="s">
        <v>6783</v>
      </c>
      <c r="F1248" s="8" t="s">
        <v>6784</v>
      </c>
      <c r="G1248" s="6" t="s">
        <v>37</v>
      </c>
      <c r="H1248" s="6" t="s">
        <v>38</v>
      </c>
      <c r="I1248" s="8"/>
      <c r="J1248" s="9">
        <v>1</v>
      </c>
      <c r="K1248" s="9">
        <v>240</v>
      </c>
      <c r="L1248" s="9">
        <v>2022</v>
      </c>
      <c r="M1248" s="8" t="s">
        <v>6785</v>
      </c>
      <c r="N1248" s="8" t="s">
        <v>40</v>
      </c>
      <c r="O1248" s="8" t="s">
        <v>41</v>
      </c>
      <c r="P1248" s="6" t="s">
        <v>68</v>
      </c>
      <c r="Q1248" s="8" t="s">
        <v>515</v>
      </c>
      <c r="R1248" s="10" t="s">
        <v>60</v>
      </c>
      <c r="S1248" s="11"/>
      <c r="T1248" s="6"/>
      <c r="U1248" s="28" t="str">
        <f>HYPERLINK("https://media.infra-m.ru/1872/1872304/cover/1872304.jpg", "Обложка")</f>
        <v>Обложка</v>
      </c>
      <c r="V1248" s="28" t="str">
        <f>HYPERLINK("https://znanium.ru/catalog/product/1872304", "Ознакомиться")</f>
        <v>Ознакомиться</v>
      </c>
      <c r="W1248" s="8" t="s">
        <v>45</v>
      </c>
      <c r="X1248" s="6"/>
      <c r="Y1248" s="6"/>
      <c r="Z1248" s="6"/>
      <c r="AA1248" s="6" t="s">
        <v>115</v>
      </c>
    </row>
    <row r="1249" spans="1:27" s="4" customFormat="1" ht="51.95" customHeight="1">
      <c r="A1249" s="5">
        <v>0</v>
      </c>
      <c r="B1249" s="6" t="s">
        <v>6786</v>
      </c>
      <c r="C1249" s="7">
        <v>2393.9</v>
      </c>
      <c r="D1249" s="8" t="s">
        <v>6787</v>
      </c>
      <c r="E1249" s="8" t="s">
        <v>6788</v>
      </c>
      <c r="F1249" s="8" t="s">
        <v>6789</v>
      </c>
      <c r="G1249" s="6" t="s">
        <v>37</v>
      </c>
      <c r="H1249" s="6" t="s">
        <v>84</v>
      </c>
      <c r="I1249" s="8"/>
      <c r="J1249" s="9">
        <v>1</v>
      </c>
      <c r="K1249" s="9">
        <v>446</v>
      </c>
      <c r="L1249" s="9">
        <v>2023</v>
      </c>
      <c r="M1249" s="8" t="s">
        <v>6790</v>
      </c>
      <c r="N1249" s="8" t="s">
        <v>40</v>
      </c>
      <c r="O1249" s="8" t="s">
        <v>41</v>
      </c>
      <c r="P1249" s="6" t="s">
        <v>42</v>
      </c>
      <c r="Q1249" s="8" t="s">
        <v>300</v>
      </c>
      <c r="R1249" s="10" t="s">
        <v>6791</v>
      </c>
      <c r="S1249" s="11"/>
      <c r="T1249" s="6"/>
      <c r="U1249" s="28" t="str">
        <f>HYPERLINK("https://media.infra-m.ru/1913/1913016/cover/1913016.jpg", "Обложка")</f>
        <v>Обложка</v>
      </c>
      <c r="V1249" s="28" t="str">
        <f>HYPERLINK("https://znanium.ru/catalog/product/1071611", "Ознакомиться")</f>
        <v>Ознакомиться</v>
      </c>
      <c r="W1249" s="8" t="s">
        <v>568</v>
      </c>
      <c r="X1249" s="6"/>
      <c r="Y1249" s="6"/>
      <c r="Z1249" s="6"/>
      <c r="AA1249" s="6" t="s">
        <v>302</v>
      </c>
    </row>
    <row r="1250" spans="1:27" s="4" customFormat="1" ht="51.95" customHeight="1">
      <c r="A1250" s="5">
        <v>0</v>
      </c>
      <c r="B1250" s="6" t="s">
        <v>6792</v>
      </c>
      <c r="C1250" s="7">
        <v>1056</v>
      </c>
      <c r="D1250" s="8" t="s">
        <v>6793</v>
      </c>
      <c r="E1250" s="8" t="s">
        <v>6794</v>
      </c>
      <c r="F1250" s="8" t="s">
        <v>6795</v>
      </c>
      <c r="G1250" s="6" t="s">
        <v>58</v>
      </c>
      <c r="H1250" s="6" t="s">
        <v>38</v>
      </c>
      <c r="I1250" s="8"/>
      <c r="J1250" s="9">
        <v>1</v>
      </c>
      <c r="K1250" s="9">
        <v>192</v>
      </c>
      <c r="L1250" s="9">
        <v>2024</v>
      </c>
      <c r="M1250" s="8" t="s">
        <v>6796</v>
      </c>
      <c r="N1250" s="8" t="s">
        <v>40</v>
      </c>
      <c r="O1250" s="8" t="s">
        <v>41</v>
      </c>
      <c r="P1250" s="6" t="s">
        <v>42</v>
      </c>
      <c r="Q1250" s="8" t="s">
        <v>43</v>
      </c>
      <c r="R1250" s="10" t="s">
        <v>3168</v>
      </c>
      <c r="S1250" s="11"/>
      <c r="T1250" s="6"/>
      <c r="U1250" s="28" t="str">
        <f>HYPERLINK("https://media.infra-m.ru/2082/2082409/cover/2082409.jpg", "Обложка")</f>
        <v>Обложка</v>
      </c>
      <c r="V1250" s="28" t="str">
        <f>HYPERLINK("https://znanium.ru/catalog/product/2082409", "Ознакомиться")</f>
        <v>Ознакомиться</v>
      </c>
      <c r="W1250" s="8"/>
      <c r="X1250" s="6" t="s">
        <v>99</v>
      </c>
      <c r="Y1250" s="6"/>
      <c r="Z1250" s="6"/>
      <c r="AA1250" s="6" t="s">
        <v>100</v>
      </c>
    </row>
    <row r="1251" spans="1:27" s="4" customFormat="1" ht="51.95" customHeight="1">
      <c r="A1251" s="5">
        <v>0</v>
      </c>
      <c r="B1251" s="6" t="s">
        <v>6797</v>
      </c>
      <c r="C1251" s="7">
        <v>1680</v>
      </c>
      <c r="D1251" s="8" t="s">
        <v>6798</v>
      </c>
      <c r="E1251" s="8" t="s">
        <v>6799</v>
      </c>
      <c r="F1251" s="8" t="s">
        <v>6800</v>
      </c>
      <c r="G1251" s="6" t="s">
        <v>58</v>
      </c>
      <c r="H1251" s="6" t="s">
        <v>84</v>
      </c>
      <c r="I1251" s="8" t="s">
        <v>85</v>
      </c>
      <c r="J1251" s="9">
        <v>1</v>
      </c>
      <c r="K1251" s="9">
        <v>296</v>
      </c>
      <c r="L1251" s="9">
        <v>2024</v>
      </c>
      <c r="M1251" s="8" t="s">
        <v>6801</v>
      </c>
      <c r="N1251" s="8" t="s">
        <v>40</v>
      </c>
      <c r="O1251" s="8" t="s">
        <v>41</v>
      </c>
      <c r="P1251" s="6" t="s">
        <v>42</v>
      </c>
      <c r="Q1251" s="8" t="s">
        <v>43</v>
      </c>
      <c r="R1251" s="10" t="s">
        <v>965</v>
      </c>
      <c r="S1251" s="11"/>
      <c r="T1251" s="6"/>
      <c r="U1251" s="28" t="str">
        <f>HYPERLINK("https://media.infra-m.ru/2134/2134653/cover/2134653.jpg", "Обложка")</f>
        <v>Обложка</v>
      </c>
      <c r="V1251" s="28" t="str">
        <f>HYPERLINK("https://znanium.ru/catalog/product/2134653", "Ознакомиться")</f>
        <v>Ознакомиться</v>
      </c>
      <c r="W1251" s="8" t="s">
        <v>114</v>
      </c>
      <c r="X1251" s="6" t="s">
        <v>2400</v>
      </c>
      <c r="Y1251" s="6"/>
      <c r="Z1251" s="6"/>
      <c r="AA1251" s="6" t="s">
        <v>100</v>
      </c>
    </row>
    <row r="1252" spans="1:27" s="4" customFormat="1" ht="42" customHeight="1">
      <c r="A1252" s="5">
        <v>0</v>
      </c>
      <c r="B1252" s="6" t="s">
        <v>6802</v>
      </c>
      <c r="C1252" s="7">
        <v>1708.8</v>
      </c>
      <c r="D1252" s="8" t="s">
        <v>6803</v>
      </c>
      <c r="E1252" s="8" t="s">
        <v>6804</v>
      </c>
      <c r="F1252" s="8" t="s">
        <v>649</v>
      </c>
      <c r="G1252" s="6" t="s">
        <v>37</v>
      </c>
      <c r="H1252" s="6" t="s">
        <v>84</v>
      </c>
      <c r="I1252" s="8" t="s">
        <v>250</v>
      </c>
      <c r="J1252" s="9">
        <v>1</v>
      </c>
      <c r="K1252" s="9">
        <v>315</v>
      </c>
      <c r="L1252" s="9">
        <v>2023</v>
      </c>
      <c r="M1252" s="8" t="s">
        <v>6805</v>
      </c>
      <c r="N1252" s="8" t="s">
        <v>40</v>
      </c>
      <c r="O1252" s="8" t="s">
        <v>41</v>
      </c>
      <c r="P1252" s="6" t="s">
        <v>42</v>
      </c>
      <c r="Q1252" s="8" t="s">
        <v>43</v>
      </c>
      <c r="R1252" s="10" t="s">
        <v>350</v>
      </c>
      <c r="S1252" s="11"/>
      <c r="T1252" s="6"/>
      <c r="U1252" s="28" t="str">
        <f>HYPERLINK("https://media.infra-m.ru/2006/2006063/cover/2006063.jpg", "Обложка")</f>
        <v>Обложка</v>
      </c>
      <c r="V1252" s="28" t="str">
        <f>HYPERLINK("https://znanium.ru/catalog/product/983164", "Ознакомиться")</f>
        <v>Ознакомиться</v>
      </c>
      <c r="W1252" s="8" t="s">
        <v>654</v>
      </c>
      <c r="X1252" s="6"/>
      <c r="Y1252" s="6"/>
      <c r="Z1252" s="6"/>
      <c r="AA1252" s="6" t="s">
        <v>46</v>
      </c>
    </row>
    <row r="1253" spans="1:27" s="4" customFormat="1" ht="51.95" customHeight="1">
      <c r="A1253" s="5">
        <v>0</v>
      </c>
      <c r="B1253" s="6" t="s">
        <v>6806</v>
      </c>
      <c r="C1253" s="7">
        <v>1056</v>
      </c>
      <c r="D1253" s="8" t="s">
        <v>6807</v>
      </c>
      <c r="E1253" s="8" t="s">
        <v>6808</v>
      </c>
      <c r="F1253" s="8" t="s">
        <v>6809</v>
      </c>
      <c r="G1253" s="6" t="s">
        <v>37</v>
      </c>
      <c r="H1253" s="6" t="s">
        <v>84</v>
      </c>
      <c r="I1253" s="8" t="s">
        <v>184</v>
      </c>
      <c r="J1253" s="9">
        <v>1</v>
      </c>
      <c r="K1253" s="9">
        <v>256</v>
      </c>
      <c r="L1253" s="9">
        <v>2020</v>
      </c>
      <c r="M1253" s="8" t="s">
        <v>6810</v>
      </c>
      <c r="N1253" s="8" t="s">
        <v>40</v>
      </c>
      <c r="O1253" s="8" t="s">
        <v>41</v>
      </c>
      <c r="P1253" s="6" t="s">
        <v>75</v>
      </c>
      <c r="Q1253" s="8" t="s">
        <v>76</v>
      </c>
      <c r="R1253" s="10" t="s">
        <v>6811</v>
      </c>
      <c r="S1253" s="11" t="s">
        <v>6812</v>
      </c>
      <c r="T1253" s="6"/>
      <c r="U1253" s="28" t="str">
        <f>HYPERLINK("https://media.infra-m.ru/1090/1090546/cover/1090546.jpg", "Обложка")</f>
        <v>Обложка</v>
      </c>
      <c r="V1253" s="28" t="str">
        <f>HYPERLINK("https://znanium.ru/catalog/product/1090546", "Ознакомиться")</f>
        <v>Ознакомиться</v>
      </c>
      <c r="W1253" s="8" t="s">
        <v>6813</v>
      </c>
      <c r="X1253" s="6"/>
      <c r="Y1253" s="6"/>
      <c r="Z1253" s="6"/>
      <c r="AA1253" s="6" t="s">
        <v>655</v>
      </c>
    </row>
    <row r="1254" spans="1:27" s="4" customFormat="1" ht="51.95" customHeight="1">
      <c r="A1254" s="5">
        <v>0</v>
      </c>
      <c r="B1254" s="6" t="s">
        <v>6814</v>
      </c>
      <c r="C1254" s="7">
        <v>1308</v>
      </c>
      <c r="D1254" s="8" t="s">
        <v>6815</v>
      </c>
      <c r="E1254" s="8" t="s">
        <v>6816</v>
      </c>
      <c r="F1254" s="8" t="s">
        <v>6817</v>
      </c>
      <c r="G1254" s="6" t="s">
        <v>58</v>
      </c>
      <c r="H1254" s="6" t="s">
        <v>84</v>
      </c>
      <c r="I1254" s="8" t="s">
        <v>120</v>
      </c>
      <c r="J1254" s="9">
        <v>1</v>
      </c>
      <c r="K1254" s="9">
        <v>230</v>
      </c>
      <c r="L1254" s="9">
        <v>2024</v>
      </c>
      <c r="M1254" s="8" t="s">
        <v>6818</v>
      </c>
      <c r="N1254" s="8" t="s">
        <v>40</v>
      </c>
      <c r="O1254" s="8" t="s">
        <v>41</v>
      </c>
      <c r="P1254" s="6" t="s">
        <v>75</v>
      </c>
      <c r="Q1254" s="8" t="s">
        <v>515</v>
      </c>
      <c r="R1254" s="10" t="s">
        <v>2681</v>
      </c>
      <c r="S1254" s="11"/>
      <c r="T1254" s="6"/>
      <c r="U1254" s="28" t="str">
        <f>HYPERLINK("https://media.infra-m.ru/2010/2010443/cover/2010443.jpg", "Обложка")</f>
        <v>Обложка</v>
      </c>
      <c r="V1254" s="28" t="str">
        <f>HYPERLINK("https://znanium.ru/catalog/product/2010443", "Ознакомиться")</f>
        <v>Ознакомиться</v>
      </c>
      <c r="W1254" s="8" t="s">
        <v>800</v>
      </c>
      <c r="X1254" s="6" t="s">
        <v>264</v>
      </c>
      <c r="Y1254" s="6"/>
      <c r="Z1254" s="6"/>
      <c r="AA1254" s="6" t="s">
        <v>100</v>
      </c>
    </row>
    <row r="1255" spans="1:27" s="4" customFormat="1" ht="51.95" customHeight="1">
      <c r="A1255" s="5">
        <v>0</v>
      </c>
      <c r="B1255" s="6" t="s">
        <v>6819</v>
      </c>
      <c r="C1255" s="7">
        <v>1445.9</v>
      </c>
      <c r="D1255" s="8" t="s">
        <v>6820</v>
      </c>
      <c r="E1255" s="8" t="s">
        <v>6821</v>
      </c>
      <c r="F1255" s="8" t="s">
        <v>6822</v>
      </c>
      <c r="G1255" s="6" t="s">
        <v>58</v>
      </c>
      <c r="H1255" s="6" t="s">
        <v>84</v>
      </c>
      <c r="I1255" s="8" t="s">
        <v>250</v>
      </c>
      <c r="J1255" s="9">
        <v>1</v>
      </c>
      <c r="K1255" s="9">
        <v>325</v>
      </c>
      <c r="L1255" s="9">
        <v>2021</v>
      </c>
      <c r="M1255" s="8" t="s">
        <v>6823</v>
      </c>
      <c r="N1255" s="8" t="s">
        <v>40</v>
      </c>
      <c r="O1255" s="8" t="s">
        <v>41</v>
      </c>
      <c r="P1255" s="6" t="s">
        <v>42</v>
      </c>
      <c r="Q1255" s="8" t="s">
        <v>43</v>
      </c>
      <c r="R1255" s="10" t="s">
        <v>469</v>
      </c>
      <c r="S1255" s="11"/>
      <c r="T1255" s="6"/>
      <c r="U1255" s="28" t="str">
        <f>HYPERLINK("https://media.infra-m.ru/1209/1209787/cover/1209787.jpg", "Обложка")</f>
        <v>Обложка</v>
      </c>
      <c r="V1255" s="28" t="str">
        <f>HYPERLINK("https://znanium.ru/catalog/product/1209787", "Ознакомиться")</f>
        <v>Ознакомиться</v>
      </c>
      <c r="W1255" s="8" t="s">
        <v>3146</v>
      </c>
      <c r="X1255" s="6"/>
      <c r="Y1255" s="6"/>
      <c r="Z1255" s="6"/>
      <c r="AA1255" s="6" t="s">
        <v>46</v>
      </c>
    </row>
    <row r="1256" spans="1:27" s="4" customFormat="1" ht="51.95" customHeight="1">
      <c r="A1256" s="5">
        <v>0</v>
      </c>
      <c r="B1256" s="6" t="s">
        <v>6824</v>
      </c>
      <c r="C1256" s="7">
        <v>1596</v>
      </c>
      <c r="D1256" s="8" t="s">
        <v>6825</v>
      </c>
      <c r="E1256" s="8" t="s">
        <v>6826</v>
      </c>
      <c r="F1256" s="8" t="s">
        <v>1689</v>
      </c>
      <c r="G1256" s="6" t="s">
        <v>37</v>
      </c>
      <c r="H1256" s="6" t="s">
        <v>38</v>
      </c>
      <c r="I1256" s="8"/>
      <c r="J1256" s="9">
        <v>1</v>
      </c>
      <c r="K1256" s="9">
        <v>288</v>
      </c>
      <c r="L1256" s="9">
        <v>2024</v>
      </c>
      <c r="M1256" s="8" t="s">
        <v>6827</v>
      </c>
      <c r="N1256" s="8" t="s">
        <v>40</v>
      </c>
      <c r="O1256" s="8" t="s">
        <v>41</v>
      </c>
      <c r="P1256" s="6" t="s">
        <v>95</v>
      </c>
      <c r="Q1256" s="8" t="s">
        <v>76</v>
      </c>
      <c r="R1256" s="10" t="s">
        <v>591</v>
      </c>
      <c r="S1256" s="11"/>
      <c r="T1256" s="6"/>
      <c r="U1256" s="28" t="str">
        <f>HYPERLINK("https://media.infra-m.ru/2105/2105793/cover/2105793.jpg", "Обложка")</f>
        <v>Обложка</v>
      </c>
      <c r="V1256" s="28" t="str">
        <f>HYPERLINK("https://znanium.ru/catalog/product/2105793", "Ознакомиться")</f>
        <v>Ознакомиться</v>
      </c>
      <c r="W1256" s="8" t="s">
        <v>114</v>
      </c>
      <c r="X1256" s="6"/>
      <c r="Y1256" s="6"/>
      <c r="Z1256" s="6"/>
      <c r="AA1256" s="6" t="s">
        <v>148</v>
      </c>
    </row>
    <row r="1257" spans="1:27" s="4" customFormat="1" ht="51.95" customHeight="1">
      <c r="A1257" s="5">
        <v>0</v>
      </c>
      <c r="B1257" s="6" t="s">
        <v>6828</v>
      </c>
      <c r="C1257" s="7">
        <v>1344</v>
      </c>
      <c r="D1257" s="8" t="s">
        <v>6829</v>
      </c>
      <c r="E1257" s="8" t="s">
        <v>6830</v>
      </c>
      <c r="F1257" s="8" t="s">
        <v>6831</v>
      </c>
      <c r="G1257" s="6" t="s">
        <v>37</v>
      </c>
      <c r="H1257" s="6" t="s">
        <v>52</v>
      </c>
      <c r="I1257" s="8"/>
      <c r="J1257" s="9">
        <v>1</v>
      </c>
      <c r="K1257" s="9">
        <v>242</v>
      </c>
      <c r="L1257" s="9">
        <v>2023</v>
      </c>
      <c r="M1257" s="8" t="s">
        <v>6832</v>
      </c>
      <c r="N1257" s="8" t="s">
        <v>40</v>
      </c>
      <c r="O1257" s="8" t="s">
        <v>41</v>
      </c>
      <c r="P1257" s="6" t="s">
        <v>75</v>
      </c>
      <c r="Q1257" s="8" t="s">
        <v>76</v>
      </c>
      <c r="R1257" s="10" t="s">
        <v>6833</v>
      </c>
      <c r="S1257" s="11" t="s">
        <v>6834</v>
      </c>
      <c r="T1257" s="6" t="s">
        <v>378</v>
      </c>
      <c r="U1257" s="28" t="str">
        <f>HYPERLINK("https://media.infra-m.ru/2129/2129599/cover/2129599.jpg", "Обложка")</f>
        <v>Обложка</v>
      </c>
      <c r="V1257" s="28" t="str">
        <f>HYPERLINK("https://znanium.ru/catalog/product/2129599", "Ознакомиться")</f>
        <v>Ознакомиться</v>
      </c>
      <c r="W1257" s="8" t="s">
        <v>236</v>
      </c>
      <c r="X1257" s="6"/>
      <c r="Y1257" s="6"/>
      <c r="Z1257" s="6"/>
      <c r="AA1257" s="6" t="s">
        <v>849</v>
      </c>
    </row>
    <row r="1258" spans="1:27" s="4" customFormat="1" ht="51.95" customHeight="1">
      <c r="A1258" s="5">
        <v>0</v>
      </c>
      <c r="B1258" s="6" t="s">
        <v>6835</v>
      </c>
      <c r="C1258" s="7">
        <v>1672.8</v>
      </c>
      <c r="D1258" s="8" t="s">
        <v>6836</v>
      </c>
      <c r="E1258" s="8" t="s">
        <v>6837</v>
      </c>
      <c r="F1258" s="8" t="s">
        <v>2291</v>
      </c>
      <c r="G1258" s="6" t="s">
        <v>58</v>
      </c>
      <c r="H1258" s="6" t="s">
        <v>410</v>
      </c>
      <c r="I1258" s="8"/>
      <c r="J1258" s="9">
        <v>1</v>
      </c>
      <c r="K1258" s="9">
        <v>304</v>
      </c>
      <c r="L1258" s="9">
        <v>2024</v>
      </c>
      <c r="M1258" s="8" t="s">
        <v>6838</v>
      </c>
      <c r="N1258" s="8" t="s">
        <v>40</v>
      </c>
      <c r="O1258" s="8" t="s">
        <v>41</v>
      </c>
      <c r="P1258" s="6" t="s">
        <v>75</v>
      </c>
      <c r="Q1258" s="8" t="s">
        <v>76</v>
      </c>
      <c r="R1258" s="10" t="s">
        <v>1800</v>
      </c>
      <c r="S1258" s="11"/>
      <c r="T1258" s="6"/>
      <c r="U1258" s="28" t="str">
        <f>HYPERLINK("https://media.infra-m.ru/2121/2121165/cover/2121165.jpg", "Обложка")</f>
        <v>Обложка</v>
      </c>
      <c r="V1258" s="28" t="str">
        <f>HYPERLINK("https://znanium.ru/catalog/product/2121166", "Ознакомиться")</f>
        <v>Ознакомиться</v>
      </c>
      <c r="W1258" s="8" t="s">
        <v>423</v>
      </c>
      <c r="X1258" s="6"/>
      <c r="Y1258" s="6"/>
      <c r="Z1258" s="6"/>
      <c r="AA1258" s="6" t="s">
        <v>592</v>
      </c>
    </row>
    <row r="1259" spans="1:27" s="4" customFormat="1" ht="51.95" customHeight="1">
      <c r="A1259" s="5">
        <v>0</v>
      </c>
      <c r="B1259" s="6" t="s">
        <v>6839</v>
      </c>
      <c r="C1259" s="7">
        <v>1180.8</v>
      </c>
      <c r="D1259" s="8" t="s">
        <v>6840</v>
      </c>
      <c r="E1259" s="8" t="s">
        <v>6841</v>
      </c>
      <c r="F1259" s="8" t="s">
        <v>6842</v>
      </c>
      <c r="G1259" s="6" t="s">
        <v>58</v>
      </c>
      <c r="H1259" s="6" t="s">
        <v>52</v>
      </c>
      <c r="I1259" s="8" t="s">
        <v>184</v>
      </c>
      <c r="J1259" s="9">
        <v>1</v>
      </c>
      <c r="K1259" s="9">
        <v>213</v>
      </c>
      <c r="L1259" s="9">
        <v>2024</v>
      </c>
      <c r="M1259" s="8" t="s">
        <v>6843</v>
      </c>
      <c r="N1259" s="8" t="s">
        <v>40</v>
      </c>
      <c r="O1259" s="8" t="s">
        <v>41</v>
      </c>
      <c r="P1259" s="6" t="s">
        <v>75</v>
      </c>
      <c r="Q1259" s="8" t="s">
        <v>76</v>
      </c>
      <c r="R1259" s="10" t="s">
        <v>6844</v>
      </c>
      <c r="S1259" s="11" t="s">
        <v>6845</v>
      </c>
      <c r="T1259" s="6"/>
      <c r="U1259" s="28" t="str">
        <f>HYPERLINK("https://media.infra-m.ru/2102/2102706/cover/2102706.jpg", "Обложка")</f>
        <v>Обложка</v>
      </c>
      <c r="V1259" s="28" t="str">
        <f>HYPERLINK("https://znanium.ru/catalog/product/2102706", "Ознакомиться")</f>
        <v>Ознакомиться</v>
      </c>
      <c r="W1259" s="8" t="s">
        <v>78</v>
      </c>
      <c r="X1259" s="6"/>
      <c r="Y1259" s="6"/>
      <c r="Z1259" s="6"/>
      <c r="AA1259" s="6" t="s">
        <v>195</v>
      </c>
    </row>
    <row r="1260" spans="1:27" s="4" customFormat="1" ht="21.95" customHeight="1">
      <c r="A1260" s="5">
        <v>0</v>
      </c>
      <c r="B1260" s="6" t="s">
        <v>6846</v>
      </c>
      <c r="C1260" s="7">
        <v>7079.9</v>
      </c>
      <c r="D1260" s="8" t="s">
        <v>6847</v>
      </c>
      <c r="E1260" s="8" t="s">
        <v>6848</v>
      </c>
      <c r="F1260" s="8" t="s">
        <v>1816</v>
      </c>
      <c r="G1260" s="6" t="s">
        <v>1764</v>
      </c>
      <c r="H1260" s="6" t="s">
        <v>38</v>
      </c>
      <c r="I1260" s="8"/>
      <c r="J1260" s="9">
        <v>1</v>
      </c>
      <c r="K1260" s="9">
        <v>1864</v>
      </c>
      <c r="L1260" s="9">
        <v>2020</v>
      </c>
      <c r="M1260" s="8"/>
      <c r="N1260" s="8" t="s">
        <v>40</v>
      </c>
      <c r="O1260" s="8" t="s">
        <v>41</v>
      </c>
      <c r="P1260" s="6" t="s">
        <v>4056</v>
      </c>
      <c r="Q1260" s="8" t="s">
        <v>76</v>
      </c>
      <c r="R1260" s="10"/>
      <c r="S1260" s="11"/>
      <c r="T1260" s="6"/>
      <c r="U1260" s="12"/>
      <c r="V1260" s="12"/>
      <c r="W1260" s="8" t="s">
        <v>1393</v>
      </c>
      <c r="X1260" s="6"/>
      <c r="Y1260" s="6"/>
      <c r="Z1260" s="6"/>
      <c r="AA1260" s="6" t="s">
        <v>115</v>
      </c>
    </row>
    <row r="1261" spans="1:27" s="4" customFormat="1" ht="51.95" customHeight="1">
      <c r="A1261" s="5">
        <v>0</v>
      </c>
      <c r="B1261" s="6" t="s">
        <v>6849</v>
      </c>
      <c r="C1261" s="7">
        <v>1056</v>
      </c>
      <c r="D1261" s="8" t="s">
        <v>6850</v>
      </c>
      <c r="E1261" s="8" t="s">
        <v>6851</v>
      </c>
      <c r="F1261" s="8" t="s">
        <v>6852</v>
      </c>
      <c r="G1261" s="6" t="s">
        <v>37</v>
      </c>
      <c r="H1261" s="6" t="s">
        <v>52</v>
      </c>
      <c r="I1261" s="8" t="s">
        <v>184</v>
      </c>
      <c r="J1261" s="9">
        <v>1</v>
      </c>
      <c r="K1261" s="9">
        <v>195</v>
      </c>
      <c r="L1261" s="9">
        <v>2023</v>
      </c>
      <c r="M1261" s="8" t="s">
        <v>6853</v>
      </c>
      <c r="N1261" s="8" t="s">
        <v>40</v>
      </c>
      <c r="O1261" s="8" t="s">
        <v>41</v>
      </c>
      <c r="P1261" s="6" t="s">
        <v>75</v>
      </c>
      <c r="Q1261" s="8" t="s">
        <v>76</v>
      </c>
      <c r="R1261" s="10" t="s">
        <v>3244</v>
      </c>
      <c r="S1261" s="11" t="s">
        <v>6854</v>
      </c>
      <c r="T1261" s="6"/>
      <c r="U1261" s="28" t="str">
        <f>HYPERLINK("https://media.infra-m.ru/1902/1902915/cover/1902915.jpg", "Обложка")</f>
        <v>Обложка</v>
      </c>
      <c r="V1261" s="28" t="str">
        <f>HYPERLINK("https://znanium.ru/catalog/product/1902915", "Ознакомиться")</f>
        <v>Ознакомиться</v>
      </c>
      <c r="W1261" s="8" t="s">
        <v>1998</v>
      </c>
      <c r="X1261" s="6"/>
      <c r="Y1261" s="6"/>
      <c r="Z1261" s="6"/>
      <c r="AA1261" s="6" t="s">
        <v>88</v>
      </c>
    </row>
    <row r="1262" spans="1:27" s="4" customFormat="1" ht="51.95" customHeight="1">
      <c r="A1262" s="5">
        <v>0</v>
      </c>
      <c r="B1262" s="6" t="s">
        <v>6855</v>
      </c>
      <c r="C1262" s="7">
        <v>3180</v>
      </c>
      <c r="D1262" s="8" t="s">
        <v>6856</v>
      </c>
      <c r="E1262" s="8" t="s">
        <v>6857</v>
      </c>
      <c r="F1262" s="8" t="s">
        <v>2108</v>
      </c>
      <c r="G1262" s="6" t="s">
        <v>58</v>
      </c>
      <c r="H1262" s="6" t="s">
        <v>52</v>
      </c>
      <c r="I1262" s="8" t="s">
        <v>120</v>
      </c>
      <c r="J1262" s="9">
        <v>1</v>
      </c>
      <c r="K1262" s="9">
        <v>578</v>
      </c>
      <c r="L1262" s="9">
        <v>2024</v>
      </c>
      <c r="M1262" s="8" t="s">
        <v>6858</v>
      </c>
      <c r="N1262" s="8" t="s">
        <v>40</v>
      </c>
      <c r="O1262" s="8" t="s">
        <v>41</v>
      </c>
      <c r="P1262" s="6" t="s">
        <v>95</v>
      </c>
      <c r="Q1262" s="8" t="s">
        <v>76</v>
      </c>
      <c r="R1262" s="10" t="s">
        <v>6844</v>
      </c>
      <c r="S1262" s="11"/>
      <c r="T1262" s="6"/>
      <c r="U1262" s="28" t="str">
        <f>HYPERLINK("https://media.infra-m.ru/2105/2105791/cover/2105791.jpg", "Обложка")</f>
        <v>Обложка</v>
      </c>
      <c r="V1262" s="28" t="str">
        <f>HYPERLINK("https://znanium.ru/catalog/product/2105791", "Ознакомиться")</f>
        <v>Ознакомиться</v>
      </c>
      <c r="W1262" s="8" t="s">
        <v>2110</v>
      </c>
      <c r="X1262" s="6"/>
      <c r="Y1262" s="6"/>
      <c r="Z1262" s="6"/>
      <c r="AA1262" s="6" t="s">
        <v>324</v>
      </c>
    </row>
    <row r="1263" spans="1:27" s="4" customFormat="1" ht="51.95" customHeight="1">
      <c r="A1263" s="5">
        <v>0</v>
      </c>
      <c r="B1263" s="6" t="s">
        <v>6859</v>
      </c>
      <c r="C1263" s="7">
        <v>2273.9</v>
      </c>
      <c r="D1263" s="8" t="s">
        <v>6860</v>
      </c>
      <c r="E1263" s="8" t="s">
        <v>6861</v>
      </c>
      <c r="F1263" s="8" t="s">
        <v>2108</v>
      </c>
      <c r="G1263" s="6" t="s">
        <v>58</v>
      </c>
      <c r="H1263" s="6" t="s">
        <v>6862</v>
      </c>
      <c r="I1263" s="8"/>
      <c r="J1263" s="9">
        <v>1</v>
      </c>
      <c r="K1263" s="9">
        <v>560</v>
      </c>
      <c r="L1263" s="9">
        <v>2021</v>
      </c>
      <c r="M1263" s="8" t="s">
        <v>6863</v>
      </c>
      <c r="N1263" s="8" t="s">
        <v>40</v>
      </c>
      <c r="O1263" s="8" t="s">
        <v>41</v>
      </c>
      <c r="P1263" s="6" t="s">
        <v>95</v>
      </c>
      <c r="Q1263" s="8" t="s">
        <v>76</v>
      </c>
      <c r="R1263" s="10" t="s">
        <v>6844</v>
      </c>
      <c r="S1263" s="11"/>
      <c r="T1263" s="6"/>
      <c r="U1263" s="28" t="str">
        <f>HYPERLINK("https://media.infra-m.ru/1852/1852244/cover/1852244.jpg", "Обложка")</f>
        <v>Обложка</v>
      </c>
      <c r="V1263" s="28" t="str">
        <f>HYPERLINK("https://znanium.ru/catalog/product/2105791", "Ознакомиться")</f>
        <v>Ознакомиться</v>
      </c>
      <c r="W1263" s="8" t="s">
        <v>2110</v>
      </c>
      <c r="X1263" s="6"/>
      <c r="Y1263" s="6"/>
      <c r="Z1263" s="6"/>
      <c r="AA1263" s="6" t="s">
        <v>302</v>
      </c>
    </row>
    <row r="1264" spans="1:27" s="4" customFormat="1" ht="51.95" customHeight="1">
      <c r="A1264" s="5">
        <v>0</v>
      </c>
      <c r="B1264" s="6" t="s">
        <v>6864</v>
      </c>
      <c r="C1264" s="7">
        <v>3000</v>
      </c>
      <c r="D1264" s="8" t="s">
        <v>6865</v>
      </c>
      <c r="E1264" s="8" t="s">
        <v>6866</v>
      </c>
      <c r="F1264" s="8" t="s">
        <v>1816</v>
      </c>
      <c r="G1264" s="6" t="s">
        <v>58</v>
      </c>
      <c r="H1264" s="6" t="s">
        <v>38</v>
      </c>
      <c r="I1264" s="8"/>
      <c r="J1264" s="9">
        <v>1</v>
      </c>
      <c r="K1264" s="9">
        <v>544</v>
      </c>
      <c r="L1264" s="9">
        <v>2024</v>
      </c>
      <c r="M1264" s="8" t="s">
        <v>6867</v>
      </c>
      <c r="N1264" s="8" t="s">
        <v>40</v>
      </c>
      <c r="O1264" s="8" t="s">
        <v>41</v>
      </c>
      <c r="P1264" s="6" t="s">
        <v>75</v>
      </c>
      <c r="Q1264" s="8" t="s">
        <v>76</v>
      </c>
      <c r="R1264" s="10" t="s">
        <v>6868</v>
      </c>
      <c r="S1264" s="11"/>
      <c r="T1264" s="6"/>
      <c r="U1264" s="28" t="str">
        <f>HYPERLINK("https://media.infra-m.ru/2114/2114319/cover/2114319.jpg", "Обложка")</f>
        <v>Обложка</v>
      </c>
      <c r="V1264" s="28" t="str">
        <f>HYPERLINK("https://znanium.ru/catalog/product/2114319", "Ознакомиться")</f>
        <v>Ознакомиться</v>
      </c>
      <c r="W1264" s="8" t="s">
        <v>1393</v>
      </c>
      <c r="X1264" s="6"/>
      <c r="Y1264" s="6"/>
      <c r="Z1264" s="6"/>
      <c r="AA1264" s="6" t="s">
        <v>115</v>
      </c>
    </row>
    <row r="1265" spans="1:27" s="4" customFormat="1" ht="51.95" customHeight="1">
      <c r="A1265" s="5">
        <v>0</v>
      </c>
      <c r="B1265" s="6" t="s">
        <v>6869</v>
      </c>
      <c r="C1265" s="7">
        <v>2776.8</v>
      </c>
      <c r="D1265" s="8" t="s">
        <v>6870</v>
      </c>
      <c r="E1265" s="8" t="s">
        <v>6841</v>
      </c>
      <c r="F1265" s="8" t="s">
        <v>6871</v>
      </c>
      <c r="G1265" s="6" t="s">
        <v>37</v>
      </c>
      <c r="H1265" s="6" t="s">
        <v>38</v>
      </c>
      <c r="I1265" s="8"/>
      <c r="J1265" s="9">
        <v>1</v>
      </c>
      <c r="K1265" s="9">
        <v>640</v>
      </c>
      <c r="L1265" s="9">
        <v>2023</v>
      </c>
      <c r="M1265" s="8" t="s">
        <v>6872</v>
      </c>
      <c r="N1265" s="8" t="s">
        <v>40</v>
      </c>
      <c r="O1265" s="8" t="s">
        <v>41</v>
      </c>
      <c r="P1265" s="6" t="s">
        <v>141</v>
      </c>
      <c r="Q1265" s="8" t="s">
        <v>76</v>
      </c>
      <c r="R1265" s="10" t="s">
        <v>6873</v>
      </c>
      <c r="S1265" s="11" t="s">
        <v>6874</v>
      </c>
      <c r="T1265" s="6"/>
      <c r="U1265" s="28" t="str">
        <f>HYPERLINK("https://media.infra-m.ru/1851/1851327/cover/1851327.jpg", "Обложка")</f>
        <v>Обложка</v>
      </c>
      <c r="V1265" s="28" t="str">
        <f>HYPERLINK("https://znanium.ru/catalog/product/1817818", "Ознакомиться")</f>
        <v>Ознакомиться</v>
      </c>
      <c r="W1265" s="8" t="s">
        <v>170</v>
      </c>
      <c r="X1265" s="6"/>
      <c r="Y1265" s="6"/>
      <c r="Z1265" s="6"/>
      <c r="AA1265" s="6" t="s">
        <v>3905</v>
      </c>
    </row>
    <row r="1266" spans="1:27" s="4" customFormat="1" ht="51.95" customHeight="1">
      <c r="A1266" s="5">
        <v>0</v>
      </c>
      <c r="B1266" s="6" t="s">
        <v>6875</v>
      </c>
      <c r="C1266" s="7">
        <v>2752.8</v>
      </c>
      <c r="D1266" s="8" t="s">
        <v>6876</v>
      </c>
      <c r="E1266" s="8" t="s">
        <v>6848</v>
      </c>
      <c r="F1266" s="8" t="s">
        <v>1816</v>
      </c>
      <c r="G1266" s="6" t="s">
        <v>58</v>
      </c>
      <c r="H1266" s="6" t="s">
        <v>38</v>
      </c>
      <c r="I1266" s="8"/>
      <c r="J1266" s="9">
        <v>1</v>
      </c>
      <c r="K1266" s="9">
        <v>488</v>
      </c>
      <c r="L1266" s="9">
        <v>2024</v>
      </c>
      <c r="M1266" s="8" t="s">
        <v>6877</v>
      </c>
      <c r="N1266" s="8" t="s">
        <v>40</v>
      </c>
      <c r="O1266" s="8" t="s">
        <v>41</v>
      </c>
      <c r="P1266" s="6" t="s">
        <v>2610</v>
      </c>
      <c r="Q1266" s="8" t="s">
        <v>515</v>
      </c>
      <c r="R1266" s="10" t="s">
        <v>77</v>
      </c>
      <c r="S1266" s="11"/>
      <c r="T1266" s="6"/>
      <c r="U1266" s="28" t="str">
        <f>HYPERLINK("https://media.infra-m.ru/2133/2133355/cover/2133355.jpg", "Обложка")</f>
        <v>Обложка</v>
      </c>
      <c r="V1266" s="28" t="str">
        <f>HYPERLINK("https://znanium.ru/catalog/product/2133355", "Ознакомиться")</f>
        <v>Ознакомиться</v>
      </c>
      <c r="W1266" s="8" t="s">
        <v>1393</v>
      </c>
      <c r="X1266" s="6"/>
      <c r="Y1266" s="6"/>
      <c r="Z1266" s="6"/>
      <c r="AA1266" s="6" t="s">
        <v>115</v>
      </c>
    </row>
    <row r="1267" spans="1:27" s="4" customFormat="1" ht="51.95" customHeight="1">
      <c r="A1267" s="5">
        <v>0</v>
      </c>
      <c r="B1267" s="6" t="s">
        <v>6878</v>
      </c>
      <c r="C1267" s="13">
        <v>964.8</v>
      </c>
      <c r="D1267" s="8" t="s">
        <v>6879</v>
      </c>
      <c r="E1267" s="8" t="s">
        <v>6880</v>
      </c>
      <c r="F1267" s="8" t="s">
        <v>1816</v>
      </c>
      <c r="G1267" s="6" t="s">
        <v>37</v>
      </c>
      <c r="H1267" s="6" t="s">
        <v>38</v>
      </c>
      <c r="I1267" s="8"/>
      <c r="J1267" s="9">
        <v>1</v>
      </c>
      <c r="K1267" s="9">
        <v>176</v>
      </c>
      <c r="L1267" s="9">
        <v>2024</v>
      </c>
      <c r="M1267" s="8" t="s">
        <v>6881</v>
      </c>
      <c r="N1267" s="8" t="s">
        <v>40</v>
      </c>
      <c r="O1267" s="8" t="s">
        <v>41</v>
      </c>
      <c r="P1267" s="6" t="s">
        <v>75</v>
      </c>
      <c r="Q1267" s="8" t="s">
        <v>76</v>
      </c>
      <c r="R1267" s="10" t="s">
        <v>6882</v>
      </c>
      <c r="S1267" s="11"/>
      <c r="T1267" s="6"/>
      <c r="U1267" s="28" t="str">
        <f>HYPERLINK("https://media.infra-m.ru/2114/2114326/cover/2114326.jpg", "Обложка")</f>
        <v>Обложка</v>
      </c>
      <c r="V1267" s="28" t="str">
        <f>HYPERLINK("https://znanium.ru/catalog/product/2114326", "Ознакомиться")</f>
        <v>Ознакомиться</v>
      </c>
      <c r="W1267" s="8" t="s">
        <v>1393</v>
      </c>
      <c r="X1267" s="6"/>
      <c r="Y1267" s="6"/>
      <c r="Z1267" s="6"/>
      <c r="AA1267" s="6" t="s">
        <v>115</v>
      </c>
    </row>
    <row r="1268" spans="1:27" s="4" customFormat="1" ht="51.95" customHeight="1">
      <c r="A1268" s="5">
        <v>0</v>
      </c>
      <c r="B1268" s="6" t="s">
        <v>6883</v>
      </c>
      <c r="C1268" s="7">
        <v>3240</v>
      </c>
      <c r="D1268" s="8" t="s">
        <v>6884</v>
      </c>
      <c r="E1268" s="8" t="s">
        <v>6848</v>
      </c>
      <c r="F1268" s="8" t="s">
        <v>6885</v>
      </c>
      <c r="G1268" s="6" t="s">
        <v>58</v>
      </c>
      <c r="H1268" s="6" t="s">
        <v>38</v>
      </c>
      <c r="I1268" s="8"/>
      <c r="J1268" s="9">
        <v>1</v>
      </c>
      <c r="K1268" s="9">
        <v>656</v>
      </c>
      <c r="L1268" s="9">
        <v>2024</v>
      </c>
      <c r="M1268" s="8" t="s">
        <v>6886</v>
      </c>
      <c r="N1268" s="8" t="s">
        <v>40</v>
      </c>
      <c r="O1268" s="8" t="s">
        <v>41</v>
      </c>
      <c r="P1268" s="6" t="s">
        <v>95</v>
      </c>
      <c r="Q1268" s="8" t="s">
        <v>76</v>
      </c>
      <c r="R1268" s="10" t="s">
        <v>6882</v>
      </c>
      <c r="S1268" s="11"/>
      <c r="T1268" s="6"/>
      <c r="U1268" s="28" t="str">
        <f>HYPERLINK("https://media.infra-m.ru/2114/2114317/cover/2114317.jpg", "Обложка")</f>
        <v>Обложка</v>
      </c>
      <c r="V1268" s="28" t="str">
        <f>HYPERLINK("https://znanium.ru/catalog/product/2114317", "Ознакомиться")</f>
        <v>Ознакомиться</v>
      </c>
      <c r="W1268" s="8" t="s">
        <v>1393</v>
      </c>
      <c r="X1268" s="6"/>
      <c r="Y1268" s="6"/>
      <c r="Z1268" s="6"/>
      <c r="AA1268" s="6" t="s">
        <v>115</v>
      </c>
    </row>
    <row r="1269" spans="1:27" s="4" customFormat="1" ht="51.95" customHeight="1">
      <c r="A1269" s="5">
        <v>0</v>
      </c>
      <c r="B1269" s="6" t="s">
        <v>6887</v>
      </c>
      <c r="C1269" s="7">
        <v>3048</v>
      </c>
      <c r="D1269" s="8" t="s">
        <v>6888</v>
      </c>
      <c r="E1269" s="8" t="s">
        <v>6889</v>
      </c>
      <c r="F1269" s="8" t="s">
        <v>6890</v>
      </c>
      <c r="G1269" s="6" t="s">
        <v>58</v>
      </c>
      <c r="H1269" s="6" t="s">
        <v>38</v>
      </c>
      <c r="I1269" s="8"/>
      <c r="J1269" s="9">
        <v>1</v>
      </c>
      <c r="K1269" s="9">
        <v>552</v>
      </c>
      <c r="L1269" s="9">
        <v>2024</v>
      </c>
      <c r="M1269" s="8" t="s">
        <v>6891</v>
      </c>
      <c r="N1269" s="8" t="s">
        <v>40</v>
      </c>
      <c r="O1269" s="8" t="s">
        <v>41</v>
      </c>
      <c r="P1269" s="6" t="s">
        <v>95</v>
      </c>
      <c r="Q1269" s="8" t="s">
        <v>76</v>
      </c>
      <c r="R1269" s="10" t="s">
        <v>6833</v>
      </c>
      <c r="S1269" s="11" t="s">
        <v>883</v>
      </c>
      <c r="T1269" s="6"/>
      <c r="U1269" s="28" t="str">
        <f>HYPERLINK("https://media.infra-m.ru/2117/2117635/cover/2117635.jpg", "Обложка")</f>
        <v>Обложка</v>
      </c>
      <c r="V1269" s="28" t="str">
        <f>HYPERLINK("https://znanium.ru/catalog/product/2117635", "Ознакомиться")</f>
        <v>Ознакомиться</v>
      </c>
      <c r="W1269" s="8" t="s">
        <v>124</v>
      </c>
      <c r="X1269" s="6"/>
      <c r="Y1269" s="6"/>
      <c r="Z1269" s="6"/>
      <c r="AA1269" s="6" t="s">
        <v>2394</v>
      </c>
    </row>
    <row r="1270" spans="1:27" s="4" customFormat="1" ht="51.95" customHeight="1">
      <c r="A1270" s="5">
        <v>0</v>
      </c>
      <c r="B1270" s="6" t="s">
        <v>6892</v>
      </c>
      <c r="C1270" s="7">
        <v>2069.9</v>
      </c>
      <c r="D1270" s="8" t="s">
        <v>6893</v>
      </c>
      <c r="E1270" s="8" t="s">
        <v>6848</v>
      </c>
      <c r="F1270" s="8" t="s">
        <v>6894</v>
      </c>
      <c r="G1270" s="6" t="s">
        <v>58</v>
      </c>
      <c r="H1270" s="6" t="s">
        <v>38</v>
      </c>
      <c r="I1270" s="8"/>
      <c r="J1270" s="9">
        <v>1</v>
      </c>
      <c r="K1270" s="9">
        <v>384</v>
      </c>
      <c r="L1270" s="9">
        <v>2023</v>
      </c>
      <c r="M1270" s="8" t="s">
        <v>6895</v>
      </c>
      <c r="N1270" s="8" t="s">
        <v>40</v>
      </c>
      <c r="O1270" s="8" t="s">
        <v>41</v>
      </c>
      <c r="P1270" s="6" t="s">
        <v>95</v>
      </c>
      <c r="Q1270" s="8" t="s">
        <v>76</v>
      </c>
      <c r="R1270" s="10" t="s">
        <v>1800</v>
      </c>
      <c r="S1270" s="11" t="s">
        <v>2620</v>
      </c>
      <c r="T1270" s="6"/>
      <c r="U1270" s="28" t="str">
        <f>HYPERLINK("https://media.infra-m.ru/1913/1913788/cover/1913788.jpg", "Обложка")</f>
        <v>Обложка</v>
      </c>
      <c r="V1270" s="28" t="str">
        <f>HYPERLINK("https://znanium.ru/catalog/product/1913788", "Ознакомиться")</f>
        <v>Ознакомиться</v>
      </c>
      <c r="W1270" s="8" t="s">
        <v>170</v>
      </c>
      <c r="X1270" s="6"/>
      <c r="Y1270" s="6"/>
      <c r="Z1270" s="6"/>
      <c r="AA1270" s="6" t="s">
        <v>737</v>
      </c>
    </row>
    <row r="1271" spans="1:27" s="4" customFormat="1" ht="51.95" customHeight="1">
      <c r="A1271" s="5">
        <v>0</v>
      </c>
      <c r="B1271" s="6" t="s">
        <v>6896</v>
      </c>
      <c r="C1271" s="7">
        <v>2976</v>
      </c>
      <c r="D1271" s="8" t="s">
        <v>6897</v>
      </c>
      <c r="E1271" s="8" t="s">
        <v>6848</v>
      </c>
      <c r="F1271" s="8" t="s">
        <v>918</v>
      </c>
      <c r="G1271" s="6" t="s">
        <v>58</v>
      </c>
      <c r="H1271" s="6" t="s">
        <v>52</v>
      </c>
      <c r="I1271" s="8" t="s">
        <v>2209</v>
      </c>
      <c r="J1271" s="9">
        <v>1</v>
      </c>
      <c r="K1271" s="9">
        <v>540</v>
      </c>
      <c r="L1271" s="9">
        <v>2023</v>
      </c>
      <c r="M1271" s="8" t="s">
        <v>6898</v>
      </c>
      <c r="N1271" s="8" t="s">
        <v>40</v>
      </c>
      <c r="O1271" s="8" t="s">
        <v>41</v>
      </c>
      <c r="P1271" s="6" t="s">
        <v>95</v>
      </c>
      <c r="Q1271" s="8" t="s">
        <v>515</v>
      </c>
      <c r="R1271" s="10" t="s">
        <v>6899</v>
      </c>
      <c r="S1271" s="11"/>
      <c r="T1271" s="6"/>
      <c r="U1271" s="28" t="str">
        <f>HYPERLINK("https://media.infra-m.ru/2063/2063337/cover/2063337.jpg", "Обложка")</f>
        <v>Обложка</v>
      </c>
      <c r="V1271" s="12"/>
      <c r="W1271" s="8" t="s">
        <v>920</v>
      </c>
      <c r="X1271" s="6"/>
      <c r="Y1271" s="6"/>
      <c r="Z1271" s="6"/>
      <c r="AA1271" s="6" t="s">
        <v>353</v>
      </c>
    </row>
    <row r="1272" spans="1:27" s="4" customFormat="1" ht="51.95" customHeight="1">
      <c r="A1272" s="5">
        <v>0</v>
      </c>
      <c r="B1272" s="6" t="s">
        <v>6900</v>
      </c>
      <c r="C1272" s="7">
        <v>1284</v>
      </c>
      <c r="D1272" s="8" t="s">
        <v>6901</v>
      </c>
      <c r="E1272" s="8" t="s">
        <v>6848</v>
      </c>
      <c r="F1272" s="8" t="s">
        <v>5719</v>
      </c>
      <c r="G1272" s="6" t="s">
        <v>37</v>
      </c>
      <c r="H1272" s="6" t="s">
        <v>38</v>
      </c>
      <c r="I1272" s="8"/>
      <c r="J1272" s="9">
        <v>1</v>
      </c>
      <c r="K1272" s="9">
        <v>232</v>
      </c>
      <c r="L1272" s="9">
        <v>2024</v>
      </c>
      <c r="M1272" s="8" t="s">
        <v>6902</v>
      </c>
      <c r="N1272" s="8" t="s">
        <v>40</v>
      </c>
      <c r="O1272" s="8" t="s">
        <v>41</v>
      </c>
      <c r="P1272" s="6" t="s">
        <v>95</v>
      </c>
      <c r="Q1272" s="8" t="s">
        <v>76</v>
      </c>
      <c r="R1272" s="10" t="s">
        <v>6882</v>
      </c>
      <c r="S1272" s="11"/>
      <c r="T1272" s="6"/>
      <c r="U1272" s="28" t="str">
        <f>HYPERLINK("https://media.infra-m.ru/2126/2126564/cover/2126564.jpg", "Обложка")</f>
        <v>Обложка</v>
      </c>
      <c r="V1272" s="28" t="str">
        <f>HYPERLINK("https://znanium.ru/catalog/product/2126564", "Ознакомиться")</f>
        <v>Ознакомиться</v>
      </c>
      <c r="W1272" s="8" t="s">
        <v>194</v>
      </c>
      <c r="X1272" s="6"/>
      <c r="Y1272" s="6"/>
      <c r="Z1272" s="6"/>
      <c r="AA1272" s="6" t="s">
        <v>115</v>
      </c>
    </row>
    <row r="1273" spans="1:27" s="4" customFormat="1" ht="51.95" customHeight="1">
      <c r="A1273" s="5">
        <v>0</v>
      </c>
      <c r="B1273" s="6" t="s">
        <v>6903</v>
      </c>
      <c r="C1273" s="7">
        <v>1260</v>
      </c>
      <c r="D1273" s="8" t="s">
        <v>6904</v>
      </c>
      <c r="E1273" s="8" t="s">
        <v>6848</v>
      </c>
      <c r="F1273" s="8" t="s">
        <v>2102</v>
      </c>
      <c r="G1273" s="6" t="s">
        <v>37</v>
      </c>
      <c r="H1273" s="6" t="s">
        <v>84</v>
      </c>
      <c r="I1273" s="8" t="s">
        <v>120</v>
      </c>
      <c r="J1273" s="9">
        <v>1</v>
      </c>
      <c r="K1273" s="9">
        <v>233</v>
      </c>
      <c r="L1273" s="9">
        <v>2023</v>
      </c>
      <c r="M1273" s="8" t="s">
        <v>6905</v>
      </c>
      <c r="N1273" s="8" t="s">
        <v>40</v>
      </c>
      <c r="O1273" s="8" t="s">
        <v>41</v>
      </c>
      <c r="P1273" s="6" t="s">
        <v>95</v>
      </c>
      <c r="Q1273" s="8" t="s">
        <v>515</v>
      </c>
      <c r="R1273" s="10" t="s">
        <v>6833</v>
      </c>
      <c r="S1273" s="11" t="s">
        <v>6906</v>
      </c>
      <c r="T1273" s="6"/>
      <c r="U1273" s="28" t="str">
        <f>HYPERLINK("https://media.infra-m.ru/2002/2002668/cover/2002668.jpg", "Обложка")</f>
        <v>Обложка</v>
      </c>
      <c r="V1273" s="28" t="str">
        <f>HYPERLINK("https://znanium.ru/catalog/product/2002668", "Ознакомиться")</f>
        <v>Ознакомиться</v>
      </c>
      <c r="W1273" s="8" t="s">
        <v>2105</v>
      </c>
      <c r="X1273" s="6"/>
      <c r="Y1273" s="6"/>
      <c r="Z1273" s="6"/>
      <c r="AA1273" s="6" t="s">
        <v>46</v>
      </c>
    </row>
    <row r="1274" spans="1:27" s="4" customFormat="1" ht="51.95" customHeight="1">
      <c r="A1274" s="5">
        <v>0</v>
      </c>
      <c r="B1274" s="6" t="s">
        <v>6907</v>
      </c>
      <c r="C1274" s="7">
        <v>2004</v>
      </c>
      <c r="D1274" s="8" t="s">
        <v>6908</v>
      </c>
      <c r="E1274" s="8" t="s">
        <v>6909</v>
      </c>
      <c r="F1274" s="8" t="s">
        <v>6910</v>
      </c>
      <c r="G1274" s="6" t="s">
        <v>37</v>
      </c>
      <c r="H1274" s="6" t="s">
        <v>38</v>
      </c>
      <c r="I1274" s="8"/>
      <c r="J1274" s="9">
        <v>1</v>
      </c>
      <c r="K1274" s="9">
        <v>464</v>
      </c>
      <c r="L1274" s="9">
        <v>2021</v>
      </c>
      <c r="M1274" s="8" t="s">
        <v>6911</v>
      </c>
      <c r="N1274" s="8" t="s">
        <v>40</v>
      </c>
      <c r="O1274" s="8" t="s">
        <v>41</v>
      </c>
      <c r="P1274" s="6" t="s">
        <v>95</v>
      </c>
      <c r="Q1274" s="8" t="s">
        <v>76</v>
      </c>
      <c r="R1274" s="10" t="s">
        <v>6833</v>
      </c>
      <c r="S1274" s="11"/>
      <c r="T1274" s="6"/>
      <c r="U1274" s="28" t="str">
        <f>HYPERLINK("https://media.infra-m.ru/2108/2108997/cover/2108997.jpg", "Обложка")</f>
        <v>Обложка</v>
      </c>
      <c r="V1274" s="28" t="str">
        <f>HYPERLINK("https://znanium.ru/catalog/product/2107265", "Ознакомиться")</f>
        <v>Ознакомиться</v>
      </c>
      <c r="W1274" s="8" t="s">
        <v>743</v>
      </c>
      <c r="X1274" s="6"/>
      <c r="Y1274" s="6"/>
      <c r="Z1274" s="6"/>
      <c r="AA1274" s="6" t="s">
        <v>6912</v>
      </c>
    </row>
    <row r="1275" spans="1:27" s="4" customFormat="1" ht="51.95" customHeight="1">
      <c r="A1275" s="5">
        <v>0</v>
      </c>
      <c r="B1275" s="6" t="s">
        <v>6913</v>
      </c>
      <c r="C1275" s="7">
        <v>1241.9000000000001</v>
      </c>
      <c r="D1275" s="8" t="s">
        <v>6914</v>
      </c>
      <c r="E1275" s="8" t="s">
        <v>6848</v>
      </c>
      <c r="F1275" s="8" t="s">
        <v>4885</v>
      </c>
      <c r="G1275" s="6" t="s">
        <v>58</v>
      </c>
      <c r="H1275" s="6" t="s">
        <v>84</v>
      </c>
      <c r="I1275" s="8" t="s">
        <v>184</v>
      </c>
      <c r="J1275" s="9">
        <v>1</v>
      </c>
      <c r="K1275" s="9">
        <v>272</v>
      </c>
      <c r="L1275" s="9">
        <v>2022</v>
      </c>
      <c r="M1275" s="8" t="s">
        <v>6915</v>
      </c>
      <c r="N1275" s="8" t="s">
        <v>40</v>
      </c>
      <c r="O1275" s="8" t="s">
        <v>41</v>
      </c>
      <c r="P1275" s="6" t="s">
        <v>95</v>
      </c>
      <c r="Q1275" s="8" t="s">
        <v>76</v>
      </c>
      <c r="R1275" s="10" t="s">
        <v>469</v>
      </c>
      <c r="S1275" s="11" t="s">
        <v>6916</v>
      </c>
      <c r="T1275" s="6"/>
      <c r="U1275" s="28" t="str">
        <f>HYPERLINK("https://media.infra-m.ru/1844/1844273/cover/1844273.jpg", "Обложка")</f>
        <v>Обложка</v>
      </c>
      <c r="V1275" s="28" t="str">
        <f>HYPERLINK("https://znanium.ru/catalog/product/1844273", "Ознакомиться")</f>
        <v>Ознакомиться</v>
      </c>
      <c r="W1275" s="8" t="s">
        <v>2421</v>
      </c>
      <c r="X1275" s="6"/>
      <c r="Y1275" s="6"/>
      <c r="Z1275" s="6"/>
      <c r="AA1275" s="6" t="s">
        <v>293</v>
      </c>
    </row>
    <row r="1276" spans="1:27" s="4" customFormat="1" ht="51.95" customHeight="1">
      <c r="A1276" s="5">
        <v>0</v>
      </c>
      <c r="B1276" s="6" t="s">
        <v>6917</v>
      </c>
      <c r="C1276" s="7">
        <v>1476</v>
      </c>
      <c r="D1276" s="8" t="s">
        <v>6918</v>
      </c>
      <c r="E1276" s="8" t="s">
        <v>6848</v>
      </c>
      <c r="F1276" s="8" t="s">
        <v>2418</v>
      </c>
      <c r="G1276" s="6" t="s">
        <v>37</v>
      </c>
      <c r="H1276" s="6" t="s">
        <v>84</v>
      </c>
      <c r="I1276" s="8" t="s">
        <v>93</v>
      </c>
      <c r="J1276" s="9">
        <v>1</v>
      </c>
      <c r="K1276" s="9">
        <v>272</v>
      </c>
      <c r="L1276" s="9">
        <v>2023</v>
      </c>
      <c r="M1276" s="8" t="s">
        <v>6919</v>
      </c>
      <c r="N1276" s="8" t="s">
        <v>40</v>
      </c>
      <c r="O1276" s="8" t="s">
        <v>41</v>
      </c>
      <c r="P1276" s="6" t="s">
        <v>95</v>
      </c>
      <c r="Q1276" s="8" t="s">
        <v>96</v>
      </c>
      <c r="R1276" s="10" t="s">
        <v>97</v>
      </c>
      <c r="S1276" s="11" t="s">
        <v>6920</v>
      </c>
      <c r="T1276" s="6"/>
      <c r="U1276" s="28" t="str">
        <f>HYPERLINK("https://media.infra-m.ru/1932/1932342/cover/1932342.jpg", "Обложка")</f>
        <v>Обложка</v>
      </c>
      <c r="V1276" s="28" t="str">
        <f>HYPERLINK("https://znanium.ru/catalog/product/1932342", "Ознакомиться")</f>
        <v>Ознакомиться</v>
      </c>
      <c r="W1276" s="8" t="s">
        <v>2421</v>
      </c>
      <c r="X1276" s="6"/>
      <c r="Y1276" s="6"/>
      <c r="Z1276" s="6" t="s">
        <v>136</v>
      </c>
      <c r="AA1276" s="6" t="s">
        <v>46</v>
      </c>
    </row>
    <row r="1277" spans="1:27" s="4" customFormat="1" ht="51.95" customHeight="1">
      <c r="A1277" s="5">
        <v>0</v>
      </c>
      <c r="B1277" s="6" t="s">
        <v>6921</v>
      </c>
      <c r="C1277" s="7">
        <v>2824.8</v>
      </c>
      <c r="D1277" s="8" t="s">
        <v>6922</v>
      </c>
      <c r="E1277" s="8" t="s">
        <v>6923</v>
      </c>
      <c r="F1277" s="8" t="s">
        <v>6924</v>
      </c>
      <c r="G1277" s="6" t="s">
        <v>58</v>
      </c>
      <c r="H1277" s="6" t="s">
        <v>191</v>
      </c>
      <c r="I1277" s="8" t="s">
        <v>120</v>
      </c>
      <c r="J1277" s="9">
        <v>1</v>
      </c>
      <c r="K1277" s="9">
        <v>512</v>
      </c>
      <c r="L1277" s="9">
        <v>2022</v>
      </c>
      <c r="M1277" s="8" t="s">
        <v>6925</v>
      </c>
      <c r="N1277" s="8" t="s">
        <v>40</v>
      </c>
      <c r="O1277" s="8" t="s">
        <v>41</v>
      </c>
      <c r="P1277" s="6" t="s">
        <v>95</v>
      </c>
      <c r="Q1277" s="8" t="s">
        <v>76</v>
      </c>
      <c r="R1277" s="10" t="s">
        <v>1800</v>
      </c>
      <c r="S1277" s="11" t="s">
        <v>2648</v>
      </c>
      <c r="T1277" s="6"/>
      <c r="U1277" s="28" t="str">
        <f>HYPERLINK("https://media.infra-m.ru/1832/1832415/cover/1832415.jpg", "Обложка")</f>
        <v>Обложка</v>
      </c>
      <c r="V1277" s="28" t="str">
        <f>HYPERLINK("https://znanium.ru/catalog/product/1832415", "Ознакомиться")</f>
        <v>Ознакомиться</v>
      </c>
      <c r="W1277" s="8" t="s">
        <v>423</v>
      </c>
      <c r="X1277" s="6"/>
      <c r="Y1277" s="6"/>
      <c r="Z1277" s="6"/>
      <c r="AA1277" s="6" t="s">
        <v>5440</v>
      </c>
    </row>
    <row r="1278" spans="1:27" s="4" customFormat="1" ht="51.95" customHeight="1">
      <c r="A1278" s="5">
        <v>0</v>
      </c>
      <c r="B1278" s="6" t="s">
        <v>6926</v>
      </c>
      <c r="C1278" s="7">
        <v>2692.8</v>
      </c>
      <c r="D1278" s="8" t="s">
        <v>6927</v>
      </c>
      <c r="E1278" s="8" t="s">
        <v>6928</v>
      </c>
      <c r="F1278" s="8" t="s">
        <v>6929</v>
      </c>
      <c r="G1278" s="6" t="s">
        <v>58</v>
      </c>
      <c r="H1278" s="6" t="s">
        <v>52</v>
      </c>
      <c r="I1278" s="8" t="s">
        <v>184</v>
      </c>
      <c r="J1278" s="9">
        <v>1</v>
      </c>
      <c r="K1278" s="9">
        <v>488</v>
      </c>
      <c r="L1278" s="9">
        <v>2023</v>
      </c>
      <c r="M1278" s="8" t="s">
        <v>6930</v>
      </c>
      <c r="N1278" s="8" t="s">
        <v>40</v>
      </c>
      <c r="O1278" s="8" t="s">
        <v>41</v>
      </c>
      <c r="P1278" s="6" t="s">
        <v>95</v>
      </c>
      <c r="Q1278" s="8" t="s">
        <v>76</v>
      </c>
      <c r="R1278" s="10" t="s">
        <v>1800</v>
      </c>
      <c r="S1278" s="11" t="s">
        <v>3058</v>
      </c>
      <c r="T1278" s="6"/>
      <c r="U1278" s="28" t="str">
        <f>HYPERLINK("https://media.infra-m.ru/2112/2112447/cover/2112447.jpg", "Обложка")</f>
        <v>Обложка</v>
      </c>
      <c r="V1278" s="28" t="str">
        <f>HYPERLINK("https://znanium.ru/catalog/product/2104275", "Ознакомиться")</f>
        <v>Ознакомиться</v>
      </c>
      <c r="W1278" s="8" t="s">
        <v>2110</v>
      </c>
      <c r="X1278" s="6"/>
      <c r="Y1278" s="6"/>
      <c r="Z1278" s="6"/>
      <c r="AA1278" s="6" t="s">
        <v>6931</v>
      </c>
    </row>
    <row r="1279" spans="1:27" s="4" customFormat="1" ht="51.95" customHeight="1">
      <c r="A1279" s="5">
        <v>0</v>
      </c>
      <c r="B1279" s="6" t="s">
        <v>6932</v>
      </c>
      <c r="C1279" s="7">
        <v>1648.8</v>
      </c>
      <c r="D1279" s="8" t="s">
        <v>6933</v>
      </c>
      <c r="E1279" s="8" t="s">
        <v>6848</v>
      </c>
      <c r="F1279" s="8" t="s">
        <v>6929</v>
      </c>
      <c r="G1279" s="6" t="s">
        <v>58</v>
      </c>
      <c r="H1279" s="6" t="s">
        <v>52</v>
      </c>
      <c r="I1279" s="8" t="s">
        <v>120</v>
      </c>
      <c r="J1279" s="9">
        <v>1</v>
      </c>
      <c r="K1279" s="9">
        <v>299</v>
      </c>
      <c r="L1279" s="9">
        <v>2023</v>
      </c>
      <c r="M1279" s="8" t="s">
        <v>6934</v>
      </c>
      <c r="N1279" s="8" t="s">
        <v>40</v>
      </c>
      <c r="O1279" s="8" t="s">
        <v>41</v>
      </c>
      <c r="P1279" s="6" t="s">
        <v>75</v>
      </c>
      <c r="Q1279" s="8" t="s">
        <v>76</v>
      </c>
      <c r="R1279" s="10" t="s">
        <v>6844</v>
      </c>
      <c r="S1279" s="11" t="s">
        <v>1801</v>
      </c>
      <c r="T1279" s="6"/>
      <c r="U1279" s="28" t="str">
        <f>HYPERLINK("https://media.infra-m.ru/1901/1901764/cover/1901764.jpg", "Обложка")</f>
        <v>Обложка</v>
      </c>
      <c r="V1279" s="28" t="str">
        <f>HYPERLINK("https://znanium.ru/catalog/product/1901764", "Ознакомиться")</f>
        <v>Ознакомиться</v>
      </c>
      <c r="W1279" s="8" t="s">
        <v>2110</v>
      </c>
      <c r="X1279" s="6"/>
      <c r="Y1279" s="6"/>
      <c r="Z1279" s="6"/>
      <c r="AA1279" s="6" t="s">
        <v>2525</v>
      </c>
    </row>
    <row r="1280" spans="1:27" s="4" customFormat="1" ht="42" customHeight="1">
      <c r="A1280" s="5">
        <v>0</v>
      </c>
      <c r="B1280" s="6" t="s">
        <v>6935</v>
      </c>
      <c r="C1280" s="7">
        <v>2148</v>
      </c>
      <c r="D1280" s="8" t="s">
        <v>6936</v>
      </c>
      <c r="E1280" s="8" t="s">
        <v>6848</v>
      </c>
      <c r="F1280" s="8" t="s">
        <v>6937</v>
      </c>
      <c r="G1280" s="6" t="s">
        <v>58</v>
      </c>
      <c r="H1280" s="6" t="s">
        <v>38</v>
      </c>
      <c r="I1280" s="8" t="s">
        <v>1198</v>
      </c>
      <c r="J1280" s="9">
        <v>1</v>
      </c>
      <c r="K1280" s="9">
        <v>432</v>
      </c>
      <c r="L1280" s="9">
        <v>2024</v>
      </c>
      <c r="M1280" s="8" t="s">
        <v>6938</v>
      </c>
      <c r="N1280" s="8" t="s">
        <v>40</v>
      </c>
      <c r="O1280" s="8" t="s">
        <v>41</v>
      </c>
      <c r="P1280" s="6" t="s">
        <v>95</v>
      </c>
      <c r="Q1280" s="8" t="s">
        <v>96</v>
      </c>
      <c r="R1280" s="10" t="s">
        <v>97</v>
      </c>
      <c r="S1280" s="11"/>
      <c r="T1280" s="6"/>
      <c r="U1280" s="28" t="str">
        <f>HYPERLINK("https://media.infra-m.ru/2084/2084418/cover/2084418.jpg", "Обложка")</f>
        <v>Обложка</v>
      </c>
      <c r="V1280" s="28" t="str">
        <f>HYPERLINK("https://znanium.ru/catalog/product/2084418", "Ознакомиться")</f>
        <v>Ознакомиться</v>
      </c>
      <c r="W1280" s="8" t="s">
        <v>78</v>
      </c>
      <c r="X1280" s="6"/>
      <c r="Y1280" s="6"/>
      <c r="Z1280" s="6"/>
      <c r="AA1280" s="6" t="s">
        <v>750</v>
      </c>
    </row>
    <row r="1281" spans="1:27" s="4" customFormat="1" ht="51.95" customHeight="1">
      <c r="A1281" s="5">
        <v>0</v>
      </c>
      <c r="B1281" s="6" t="s">
        <v>6939</v>
      </c>
      <c r="C1281" s="7">
        <v>1553.9</v>
      </c>
      <c r="D1281" s="8" t="s">
        <v>6940</v>
      </c>
      <c r="E1281" s="8" t="s">
        <v>6941</v>
      </c>
      <c r="F1281" s="8" t="s">
        <v>2108</v>
      </c>
      <c r="G1281" s="6" t="s">
        <v>58</v>
      </c>
      <c r="H1281" s="6" t="s">
        <v>52</v>
      </c>
      <c r="I1281" s="8" t="s">
        <v>184</v>
      </c>
      <c r="J1281" s="9">
        <v>1</v>
      </c>
      <c r="K1281" s="9">
        <v>475</v>
      </c>
      <c r="L1281" s="9">
        <v>2020</v>
      </c>
      <c r="M1281" s="8" t="s">
        <v>6942</v>
      </c>
      <c r="N1281" s="8" t="s">
        <v>40</v>
      </c>
      <c r="O1281" s="8" t="s">
        <v>41</v>
      </c>
      <c r="P1281" s="6" t="s">
        <v>95</v>
      </c>
      <c r="Q1281" s="8" t="s">
        <v>76</v>
      </c>
      <c r="R1281" s="10" t="s">
        <v>1800</v>
      </c>
      <c r="S1281" s="11" t="s">
        <v>3058</v>
      </c>
      <c r="T1281" s="6"/>
      <c r="U1281" s="28" t="str">
        <f>HYPERLINK("https://media.infra-m.ru/1042/1042681/cover/1042681.jpg", "Обложка")</f>
        <v>Обложка</v>
      </c>
      <c r="V1281" s="28" t="str">
        <f>HYPERLINK("https://znanium.ru/catalog/product/2104275", "Ознакомиться")</f>
        <v>Ознакомиться</v>
      </c>
      <c r="W1281" s="8" t="s">
        <v>2110</v>
      </c>
      <c r="X1281" s="6"/>
      <c r="Y1281" s="6"/>
      <c r="Z1281" s="6"/>
      <c r="AA1281" s="6" t="s">
        <v>228</v>
      </c>
    </row>
    <row r="1282" spans="1:27" s="4" customFormat="1" ht="51.95" customHeight="1">
      <c r="A1282" s="5">
        <v>0</v>
      </c>
      <c r="B1282" s="6" t="s">
        <v>6943</v>
      </c>
      <c r="C1282" s="7">
        <v>1740</v>
      </c>
      <c r="D1282" s="8" t="s">
        <v>6944</v>
      </c>
      <c r="E1282" s="8" t="s">
        <v>6945</v>
      </c>
      <c r="F1282" s="8" t="s">
        <v>2195</v>
      </c>
      <c r="G1282" s="6" t="s">
        <v>37</v>
      </c>
      <c r="H1282" s="6" t="s">
        <v>84</v>
      </c>
      <c r="I1282" s="8" t="s">
        <v>120</v>
      </c>
      <c r="J1282" s="9">
        <v>1</v>
      </c>
      <c r="K1282" s="9">
        <v>322</v>
      </c>
      <c r="L1282" s="9">
        <v>2023</v>
      </c>
      <c r="M1282" s="8" t="s">
        <v>6946</v>
      </c>
      <c r="N1282" s="8" t="s">
        <v>40</v>
      </c>
      <c r="O1282" s="8" t="s">
        <v>41</v>
      </c>
      <c r="P1282" s="6" t="s">
        <v>75</v>
      </c>
      <c r="Q1282" s="8" t="s">
        <v>76</v>
      </c>
      <c r="R1282" s="10" t="s">
        <v>6947</v>
      </c>
      <c r="S1282" s="11" t="s">
        <v>6948</v>
      </c>
      <c r="T1282" s="6" t="s">
        <v>378</v>
      </c>
      <c r="U1282" s="28" t="str">
        <f>HYPERLINK("https://media.infra-m.ru/2002/2002647/cover/2002647.jpg", "Обложка")</f>
        <v>Обложка</v>
      </c>
      <c r="V1282" s="28" t="str">
        <f>HYPERLINK("https://znanium.ru/catalog/product/2002647", "Ознакомиться")</f>
        <v>Ознакомиться</v>
      </c>
      <c r="W1282" s="8" t="s">
        <v>194</v>
      </c>
      <c r="X1282" s="6"/>
      <c r="Y1282" s="6"/>
      <c r="Z1282" s="6"/>
      <c r="AA1282" s="6" t="s">
        <v>557</v>
      </c>
    </row>
    <row r="1283" spans="1:27" s="4" customFormat="1" ht="51.95" customHeight="1">
      <c r="A1283" s="5">
        <v>0</v>
      </c>
      <c r="B1283" s="6" t="s">
        <v>6949</v>
      </c>
      <c r="C1283" s="7">
        <v>2020.8</v>
      </c>
      <c r="D1283" s="8" t="s">
        <v>6950</v>
      </c>
      <c r="E1283" s="8" t="s">
        <v>6848</v>
      </c>
      <c r="F1283" s="8" t="s">
        <v>6951</v>
      </c>
      <c r="G1283" s="6" t="s">
        <v>37</v>
      </c>
      <c r="H1283" s="6" t="s">
        <v>84</v>
      </c>
      <c r="I1283" s="8" t="s">
        <v>1533</v>
      </c>
      <c r="J1283" s="9">
        <v>1</v>
      </c>
      <c r="K1283" s="9">
        <v>365</v>
      </c>
      <c r="L1283" s="9">
        <v>2024</v>
      </c>
      <c r="M1283" s="8" t="s">
        <v>6952</v>
      </c>
      <c r="N1283" s="8" t="s">
        <v>40</v>
      </c>
      <c r="O1283" s="8" t="s">
        <v>41</v>
      </c>
      <c r="P1283" s="6" t="s">
        <v>75</v>
      </c>
      <c r="Q1283" s="8" t="s">
        <v>76</v>
      </c>
      <c r="R1283" s="10" t="s">
        <v>3244</v>
      </c>
      <c r="S1283" s="11"/>
      <c r="T1283" s="6"/>
      <c r="U1283" s="28" t="str">
        <f>HYPERLINK("https://media.infra-m.ru/2107/2107422/cover/2107422.jpg", "Обложка")</f>
        <v>Обложка</v>
      </c>
      <c r="V1283" s="28" t="str">
        <f>HYPERLINK("https://znanium.ru/catalog/product/2107422", "Ознакомиться")</f>
        <v>Ознакомиться</v>
      </c>
      <c r="W1283" s="8" t="s">
        <v>344</v>
      </c>
      <c r="X1283" s="6"/>
      <c r="Y1283" s="6"/>
      <c r="Z1283" s="6"/>
      <c r="AA1283" s="6" t="s">
        <v>79</v>
      </c>
    </row>
    <row r="1284" spans="1:27" s="4" customFormat="1" ht="42" customHeight="1">
      <c r="A1284" s="5">
        <v>0</v>
      </c>
      <c r="B1284" s="6" t="s">
        <v>6953</v>
      </c>
      <c r="C1284" s="7">
        <v>2028</v>
      </c>
      <c r="D1284" s="8" t="s">
        <v>6954</v>
      </c>
      <c r="E1284" s="8" t="s">
        <v>6848</v>
      </c>
      <c r="F1284" s="8" t="s">
        <v>6955</v>
      </c>
      <c r="G1284" s="6" t="s">
        <v>58</v>
      </c>
      <c r="H1284" s="6" t="s">
        <v>84</v>
      </c>
      <c r="I1284" s="8" t="s">
        <v>93</v>
      </c>
      <c r="J1284" s="9">
        <v>1</v>
      </c>
      <c r="K1284" s="9">
        <v>343</v>
      </c>
      <c r="L1284" s="9">
        <v>2024</v>
      </c>
      <c r="M1284" s="8" t="s">
        <v>6956</v>
      </c>
      <c r="N1284" s="8" t="s">
        <v>40</v>
      </c>
      <c r="O1284" s="8" t="s">
        <v>41</v>
      </c>
      <c r="P1284" s="6" t="s">
        <v>75</v>
      </c>
      <c r="Q1284" s="8" t="s">
        <v>96</v>
      </c>
      <c r="R1284" s="10" t="s">
        <v>135</v>
      </c>
      <c r="S1284" s="11"/>
      <c r="T1284" s="6"/>
      <c r="U1284" s="28" t="str">
        <f>HYPERLINK("https://media.infra-m.ru/1865/1865712/cover/1865712.jpg", "Обложка")</f>
        <v>Обложка</v>
      </c>
      <c r="V1284" s="28" t="str">
        <f>HYPERLINK("https://znanium.ru/catalog/product/1865712", "Ознакомиться")</f>
        <v>Ознакомиться</v>
      </c>
      <c r="W1284" s="8" t="s">
        <v>4271</v>
      </c>
      <c r="X1284" s="6" t="s">
        <v>1412</v>
      </c>
      <c r="Y1284" s="6"/>
      <c r="Z1284" s="6"/>
      <c r="AA1284" s="6" t="s">
        <v>100</v>
      </c>
    </row>
    <row r="1285" spans="1:27" s="4" customFormat="1" ht="51.95" customHeight="1">
      <c r="A1285" s="5">
        <v>0</v>
      </c>
      <c r="B1285" s="6" t="s">
        <v>6957</v>
      </c>
      <c r="C1285" s="7">
        <v>2592</v>
      </c>
      <c r="D1285" s="8" t="s">
        <v>6958</v>
      </c>
      <c r="E1285" s="8" t="s">
        <v>6841</v>
      </c>
      <c r="F1285" s="8" t="s">
        <v>2375</v>
      </c>
      <c r="G1285" s="6" t="s">
        <v>37</v>
      </c>
      <c r="H1285" s="6" t="s">
        <v>38</v>
      </c>
      <c r="I1285" s="8"/>
      <c r="J1285" s="9">
        <v>1</v>
      </c>
      <c r="K1285" s="9">
        <v>480</v>
      </c>
      <c r="L1285" s="9">
        <v>2023</v>
      </c>
      <c r="M1285" s="8" t="s">
        <v>6959</v>
      </c>
      <c r="N1285" s="8" t="s">
        <v>40</v>
      </c>
      <c r="O1285" s="8" t="s">
        <v>41</v>
      </c>
      <c r="P1285" s="6" t="s">
        <v>75</v>
      </c>
      <c r="Q1285" s="8" t="s">
        <v>76</v>
      </c>
      <c r="R1285" s="10" t="s">
        <v>6833</v>
      </c>
      <c r="S1285" s="11"/>
      <c r="T1285" s="6"/>
      <c r="U1285" s="28" t="str">
        <f>HYPERLINK("https://media.infra-m.ru/1932/1932283/cover/1932283.jpg", "Обложка")</f>
        <v>Обложка</v>
      </c>
      <c r="V1285" s="28" t="str">
        <f>HYPERLINK("https://znanium.ru/catalog/product/1932283", "Ознакомиться")</f>
        <v>Ознакомиться</v>
      </c>
      <c r="W1285" s="8" t="s">
        <v>568</v>
      </c>
      <c r="X1285" s="6"/>
      <c r="Y1285" s="6"/>
      <c r="Z1285" s="6"/>
      <c r="AA1285" s="6" t="s">
        <v>668</v>
      </c>
    </row>
    <row r="1286" spans="1:27" s="4" customFormat="1" ht="51.95" customHeight="1">
      <c r="A1286" s="5">
        <v>0</v>
      </c>
      <c r="B1286" s="6" t="s">
        <v>6960</v>
      </c>
      <c r="C1286" s="7">
        <v>3024</v>
      </c>
      <c r="D1286" s="8" t="s">
        <v>6961</v>
      </c>
      <c r="E1286" s="8" t="s">
        <v>6841</v>
      </c>
      <c r="F1286" s="8" t="s">
        <v>6962</v>
      </c>
      <c r="G1286" s="6" t="s">
        <v>37</v>
      </c>
      <c r="H1286" s="6" t="s">
        <v>38</v>
      </c>
      <c r="I1286" s="8"/>
      <c r="J1286" s="9">
        <v>1</v>
      </c>
      <c r="K1286" s="9">
        <v>560</v>
      </c>
      <c r="L1286" s="9">
        <v>2023</v>
      </c>
      <c r="M1286" s="8" t="s">
        <v>6963</v>
      </c>
      <c r="N1286" s="8" t="s">
        <v>40</v>
      </c>
      <c r="O1286" s="8" t="s">
        <v>41</v>
      </c>
      <c r="P1286" s="6" t="s">
        <v>95</v>
      </c>
      <c r="Q1286" s="8" t="s">
        <v>76</v>
      </c>
      <c r="R1286" s="10" t="s">
        <v>591</v>
      </c>
      <c r="S1286" s="11"/>
      <c r="T1286" s="6"/>
      <c r="U1286" s="28" t="str">
        <f>HYPERLINK("https://media.infra-m.ru/1895/1895227/cover/1895227.jpg", "Обложка")</f>
        <v>Обложка</v>
      </c>
      <c r="V1286" s="28" t="str">
        <f>HYPERLINK("https://znanium.ru/catalog/product/1895227", "Ознакомиться")</f>
        <v>Ознакомиться</v>
      </c>
      <c r="W1286" s="8" t="s">
        <v>1524</v>
      </c>
      <c r="X1286" s="6"/>
      <c r="Y1286" s="6"/>
      <c r="Z1286" s="6"/>
      <c r="AA1286" s="6" t="s">
        <v>668</v>
      </c>
    </row>
    <row r="1287" spans="1:27" s="4" customFormat="1" ht="51.95" customHeight="1">
      <c r="A1287" s="5">
        <v>0</v>
      </c>
      <c r="B1287" s="6" t="s">
        <v>6964</v>
      </c>
      <c r="C1287" s="7">
        <v>1800</v>
      </c>
      <c r="D1287" s="8" t="s">
        <v>6965</v>
      </c>
      <c r="E1287" s="8" t="s">
        <v>6945</v>
      </c>
      <c r="F1287" s="8" t="s">
        <v>6962</v>
      </c>
      <c r="G1287" s="6" t="s">
        <v>37</v>
      </c>
      <c r="H1287" s="6" t="s">
        <v>38</v>
      </c>
      <c r="I1287" s="8"/>
      <c r="J1287" s="9">
        <v>1</v>
      </c>
      <c r="K1287" s="9">
        <v>576</v>
      </c>
      <c r="L1287" s="9">
        <v>2017</v>
      </c>
      <c r="M1287" s="8" t="s">
        <v>6966</v>
      </c>
      <c r="N1287" s="8" t="s">
        <v>40</v>
      </c>
      <c r="O1287" s="8" t="s">
        <v>41</v>
      </c>
      <c r="P1287" s="6" t="s">
        <v>75</v>
      </c>
      <c r="Q1287" s="8" t="s">
        <v>76</v>
      </c>
      <c r="R1287" s="10" t="s">
        <v>591</v>
      </c>
      <c r="S1287" s="11"/>
      <c r="T1287" s="6"/>
      <c r="U1287" s="28" t="str">
        <f>HYPERLINK("https://media.infra-m.ru/0953/0953234/cover/953234.jpg", "Обложка")</f>
        <v>Обложка</v>
      </c>
      <c r="V1287" s="28" t="str">
        <f>HYPERLINK("https://znanium.ru/catalog/product/1895227", "Ознакомиться")</f>
        <v>Ознакомиться</v>
      </c>
      <c r="W1287" s="8" t="s">
        <v>1524</v>
      </c>
      <c r="X1287" s="6"/>
      <c r="Y1287" s="6"/>
      <c r="Z1287" s="6"/>
      <c r="AA1287" s="6" t="s">
        <v>2178</v>
      </c>
    </row>
    <row r="1288" spans="1:27" s="4" customFormat="1" ht="51.95" customHeight="1">
      <c r="A1288" s="5">
        <v>0</v>
      </c>
      <c r="B1288" s="6" t="s">
        <v>6967</v>
      </c>
      <c r="C1288" s="13">
        <v>591.6</v>
      </c>
      <c r="D1288" s="8" t="s">
        <v>6968</v>
      </c>
      <c r="E1288" s="8" t="s">
        <v>6841</v>
      </c>
      <c r="F1288" s="8" t="s">
        <v>6969</v>
      </c>
      <c r="G1288" s="6" t="s">
        <v>51</v>
      </c>
      <c r="H1288" s="6" t="s">
        <v>52</v>
      </c>
      <c r="I1288" s="8" t="s">
        <v>120</v>
      </c>
      <c r="J1288" s="9">
        <v>1</v>
      </c>
      <c r="K1288" s="9">
        <v>126</v>
      </c>
      <c r="L1288" s="9">
        <v>2024</v>
      </c>
      <c r="M1288" s="8" t="s">
        <v>6970</v>
      </c>
      <c r="N1288" s="8" t="s">
        <v>40</v>
      </c>
      <c r="O1288" s="8" t="s">
        <v>41</v>
      </c>
      <c r="P1288" s="6" t="s">
        <v>75</v>
      </c>
      <c r="Q1288" s="8" t="s">
        <v>76</v>
      </c>
      <c r="R1288" s="10" t="s">
        <v>1800</v>
      </c>
      <c r="S1288" s="11"/>
      <c r="T1288" s="6"/>
      <c r="U1288" s="28" t="str">
        <f>HYPERLINK("https://media.infra-m.ru/2136/2136808/cover/2136808.jpg", "Обложка")</f>
        <v>Обложка</v>
      </c>
      <c r="V1288" s="28" t="str">
        <f>HYPERLINK("https://znanium.ru/catalog/product/2136808", "Ознакомиться")</f>
        <v>Ознакомиться</v>
      </c>
      <c r="W1288" s="8" t="s">
        <v>114</v>
      </c>
      <c r="X1288" s="6"/>
      <c r="Y1288" s="6"/>
      <c r="Z1288" s="6"/>
      <c r="AA1288" s="6" t="s">
        <v>891</v>
      </c>
    </row>
    <row r="1289" spans="1:27" s="4" customFormat="1" ht="51.95" customHeight="1">
      <c r="A1289" s="5">
        <v>0</v>
      </c>
      <c r="B1289" s="6" t="s">
        <v>6971</v>
      </c>
      <c r="C1289" s="13">
        <v>203.9</v>
      </c>
      <c r="D1289" s="8" t="s">
        <v>6972</v>
      </c>
      <c r="E1289" s="8" t="s">
        <v>6945</v>
      </c>
      <c r="F1289" s="8" t="s">
        <v>829</v>
      </c>
      <c r="G1289" s="6" t="s">
        <v>51</v>
      </c>
      <c r="H1289" s="6" t="s">
        <v>52</v>
      </c>
      <c r="I1289" s="8" t="s">
        <v>225</v>
      </c>
      <c r="J1289" s="9">
        <v>1</v>
      </c>
      <c r="K1289" s="9">
        <v>80</v>
      </c>
      <c r="L1289" s="9">
        <v>2022</v>
      </c>
      <c r="M1289" s="8" t="s">
        <v>6973</v>
      </c>
      <c r="N1289" s="8" t="s">
        <v>40</v>
      </c>
      <c r="O1289" s="8" t="s">
        <v>41</v>
      </c>
      <c r="P1289" s="6" t="s">
        <v>227</v>
      </c>
      <c r="Q1289" s="8" t="s">
        <v>76</v>
      </c>
      <c r="R1289" s="10" t="s">
        <v>5321</v>
      </c>
      <c r="S1289" s="11"/>
      <c r="T1289" s="6"/>
      <c r="U1289" s="28" t="str">
        <f>HYPERLINK("https://media.infra-m.ru/1853/1853508/cover/1853508.jpg", "Обложка")</f>
        <v>Обложка</v>
      </c>
      <c r="V1289" s="28" t="str">
        <f>HYPERLINK("https://znanium.ru/catalog/product/522007", "Ознакомиться")</f>
        <v>Ознакомиться</v>
      </c>
      <c r="W1289" s="8"/>
      <c r="X1289" s="6"/>
      <c r="Y1289" s="6"/>
      <c r="Z1289" s="6"/>
      <c r="AA1289" s="6" t="s">
        <v>214</v>
      </c>
    </row>
    <row r="1290" spans="1:27" s="4" customFormat="1" ht="51.95" customHeight="1">
      <c r="A1290" s="5">
        <v>0</v>
      </c>
      <c r="B1290" s="6" t="s">
        <v>6974</v>
      </c>
      <c r="C1290" s="7">
        <v>2872.8</v>
      </c>
      <c r="D1290" s="8" t="s">
        <v>6975</v>
      </c>
      <c r="E1290" s="8" t="s">
        <v>6841</v>
      </c>
      <c r="F1290" s="8" t="s">
        <v>6831</v>
      </c>
      <c r="G1290" s="6" t="s">
        <v>58</v>
      </c>
      <c r="H1290" s="6" t="s">
        <v>52</v>
      </c>
      <c r="I1290" s="8" t="s">
        <v>184</v>
      </c>
      <c r="J1290" s="9">
        <v>1</v>
      </c>
      <c r="K1290" s="9">
        <v>526</v>
      </c>
      <c r="L1290" s="9">
        <v>2024</v>
      </c>
      <c r="M1290" s="8" t="s">
        <v>6976</v>
      </c>
      <c r="N1290" s="8" t="s">
        <v>40</v>
      </c>
      <c r="O1290" s="8" t="s">
        <v>41</v>
      </c>
      <c r="P1290" s="6" t="s">
        <v>75</v>
      </c>
      <c r="Q1290" s="8" t="s">
        <v>76</v>
      </c>
      <c r="R1290" s="10" t="s">
        <v>168</v>
      </c>
      <c r="S1290" s="11"/>
      <c r="T1290" s="6"/>
      <c r="U1290" s="28" t="str">
        <f>HYPERLINK("https://media.infra-m.ru/2132/2132590/cover/2132590.jpg", "Обложка")</f>
        <v>Обложка</v>
      </c>
      <c r="V1290" s="28" t="str">
        <f>HYPERLINK("https://znanium.ru/catalog/product/2132590", "Ознакомиться")</f>
        <v>Ознакомиться</v>
      </c>
      <c r="W1290" s="8" t="s">
        <v>236</v>
      </c>
      <c r="X1290" s="6"/>
      <c r="Y1290" s="6"/>
      <c r="Z1290" s="6"/>
      <c r="AA1290" s="6" t="s">
        <v>849</v>
      </c>
    </row>
    <row r="1291" spans="1:27" s="4" customFormat="1" ht="51.95" customHeight="1">
      <c r="A1291" s="5">
        <v>0</v>
      </c>
      <c r="B1291" s="6" t="s">
        <v>6977</v>
      </c>
      <c r="C1291" s="7">
        <v>1764</v>
      </c>
      <c r="D1291" s="8" t="s">
        <v>6978</v>
      </c>
      <c r="E1291" s="8" t="s">
        <v>6979</v>
      </c>
      <c r="F1291" s="8" t="s">
        <v>6980</v>
      </c>
      <c r="G1291" s="6" t="s">
        <v>37</v>
      </c>
      <c r="H1291" s="6" t="s">
        <v>38</v>
      </c>
      <c r="I1291" s="8"/>
      <c r="J1291" s="9">
        <v>1</v>
      </c>
      <c r="K1291" s="9">
        <v>320</v>
      </c>
      <c r="L1291" s="9">
        <v>2024</v>
      </c>
      <c r="M1291" s="8" t="s">
        <v>6981</v>
      </c>
      <c r="N1291" s="8" t="s">
        <v>40</v>
      </c>
      <c r="O1291" s="8" t="s">
        <v>41</v>
      </c>
      <c r="P1291" s="6" t="s">
        <v>95</v>
      </c>
      <c r="Q1291" s="8" t="s">
        <v>157</v>
      </c>
      <c r="R1291" s="10" t="s">
        <v>322</v>
      </c>
      <c r="S1291" s="11"/>
      <c r="T1291" s="6"/>
      <c r="U1291" s="28" t="str">
        <f>HYPERLINK("https://media.infra-m.ru/2122/2122505/cover/2122505.jpg", "Обложка")</f>
        <v>Обложка</v>
      </c>
      <c r="V1291" s="28" t="str">
        <f>HYPERLINK("https://znanium.ru/catalog/product/2122505", "Ознакомиться")</f>
        <v>Ознакомиться</v>
      </c>
      <c r="W1291" s="8" t="s">
        <v>423</v>
      </c>
      <c r="X1291" s="6"/>
      <c r="Y1291" s="6"/>
      <c r="Z1291" s="6"/>
      <c r="AA1291" s="6" t="s">
        <v>79</v>
      </c>
    </row>
    <row r="1292" spans="1:27" s="4" customFormat="1" ht="51.95" customHeight="1">
      <c r="A1292" s="5">
        <v>0</v>
      </c>
      <c r="B1292" s="6" t="s">
        <v>6982</v>
      </c>
      <c r="C1292" s="7">
        <v>2404.8000000000002</v>
      </c>
      <c r="D1292" s="8" t="s">
        <v>6983</v>
      </c>
      <c r="E1292" s="8" t="s">
        <v>6984</v>
      </c>
      <c r="F1292" s="8" t="s">
        <v>6980</v>
      </c>
      <c r="G1292" s="6" t="s">
        <v>58</v>
      </c>
      <c r="H1292" s="6" t="s">
        <v>38</v>
      </c>
      <c r="I1292" s="8"/>
      <c r="J1292" s="9">
        <v>1</v>
      </c>
      <c r="K1292" s="9">
        <v>288</v>
      </c>
      <c r="L1292" s="9">
        <v>2023</v>
      </c>
      <c r="M1292" s="8" t="s">
        <v>6985</v>
      </c>
      <c r="N1292" s="8" t="s">
        <v>40</v>
      </c>
      <c r="O1292" s="8" t="s">
        <v>41</v>
      </c>
      <c r="P1292" s="6" t="s">
        <v>95</v>
      </c>
      <c r="Q1292" s="8" t="s">
        <v>157</v>
      </c>
      <c r="R1292" s="10" t="s">
        <v>122</v>
      </c>
      <c r="S1292" s="11"/>
      <c r="T1292" s="6"/>
      <c r="U1292" s="28" t="str">
        <f>HYPERLINK("https://media.infra-m.ru/1895/1895643/cover/1895643.jpg", "Обложка")</f>
        <v>Обложка</v>
      </c>
      <c r="V1292" s="28" t="str">
        <f>HYPERLINK("https://znanium.ru/catalog/product/1914629", "Ознакомиться")</f>
        <v>Ознакомиться</v>
      </c>
      <c r="W1292" s="8" t="s">
        <v>423</v>
      </c>
      <c r="X1292" s="6"/>
      <c r="Y1292" s="6"/>
      <c r="Z1292" s="6"/>
      <c r="AA1292" s="6" t="s">
        <v>79</v>
      </c>
    </row>
    <row r="1293" spans="1:27" s="4" customFormat="1" ht="51.95" customHeight="1">
      <c r="A1293" s="5">
        <v>0</v>
      </c>
      <c r="B1293" s="6" t="s">
        <v>6986</v>
      </c>
      <c r="C1293" s="7">
        <v>1624.8</v>
      </c>
      <c r="D1293" s="8" t="s">
        <v>6987</v>
      </c>
      <c r="E1293" s="8" t="s">
        <v>6988</v>
      </c>
      <c r="F1293" s="8" t="s">
        <v>2978</v>
      </c>
      <c r="G1293" s="6" t="s">
        <v>58</v>
      </c>
      <c r="H1293" s="6" t="s">
        <v>38</v>
      </c>
      <c r="I1293" s="8"/>
      <c r="J1293" s="9">
        <v>1</v>
      </c>
      <c r="K1293" s="9">
        <v>288</v>
      </c>
      <c r="L1293" s="9">
        <v>2024</v>
      </c>
      <c r="M1293" s="8" t="s">
        <v>6989</v>
      </c>
      <c r="N1293" s="8" t="s">
        <v>40</v>
      </c>
      <c r="O1293" s="8" t="s">
        <v>41</v>
      </c>
      <c r="P1293" s="6" t="s">
        <v>75</v>
      </c>
      <c r="Q1293" s="8" t="s">
        <v>157</v>
      </c>
      <c r="R1293" s="10" t="s">
        <v>5969</v>
      </c>
      <c r="S1293" s="11"/>
      <c r="T1293" s="6"/>
      <c r="U1293" s="28" t="str">
        <f>HYPERLINK("https://media.infra-m.ru/2146/2146826/cover/2146826.jpg", "Обложка")</f>
        <v>Обложка</v>
      </c>
      <c r="V1293" s="28" t="str">
        <f>HYPERLINK("https://znanium.ru/catalog/product/1902910", "Ознакомиться")</f>
        <v>Ознакомиться</v>
      </c>
      <c r="W1293" s="8" t="s">
        <v>114</v>
      </c>
      <c r="X1293" s="6"/>
      <c r="Y1293" s="6"/>
      <c r="Z1293" s="6"/>
      <c r="AA1293" s="6" t="s">
        <v>353</v>
      </c>
    </row>
    <row r="1294" spans="1:27" s="4" customFormat="1" ht="51.95" customHeight="1">
      <c r="A1294" s="5">
        <v>0</v>
      </c>
      <c r="B1294" s="6" t="s">
        <v>6990</v>
      </c>
      <c r="C1294" s="13">
        <v>700.8</v>
      </c>
      <c r="D1294" s="8" t="s">
        <v>6991</v>
      </c>
      <c r="E1294" s="8" t="s">
        <v>6992</v>
      </c>
      <c r="F1294" s="8" t="s">
        <v>6993</v>
      </c>
      <c r="G1294" s="6" t="s">
        <v>51</v>
      </c>
      <c r="H1294" s="6" t="s">
        <v>38</v>
      </c>
      <c r="I1294" s="8"/>
      <c r="J1294" s="9">
        <v>1</v>
      </c>
      <c r="K1294" s="9">
        <v>112</v>
      </c>
      <c r="L1294" s="9">
        <v>2024</v>
      </c>
      <c r="M1294" s="8" t="s">
        <v>6994</v>
      </c>
      <c r="N1294" s="8" t="s">
        <v>40</v>
      </c>
      <c r="O1294" s="8" t="s">
        <v>41</v>
      </c>
      <c r="P1294" s="6" t="s">
        <v>75</v>
      </c>
      <c r="Q1294" s="8" t="s">
        <v>157</v>
      </c>
      <c r="R1294" s="10" t="s">
        <v>122</v>
      </c>
      <c r="S1294" s="11"/>
      <c r="T1294" s="6"/>
      <c r="U1294" s="28" t="str">
        <f>HYPERLINK("https://media.infra-m.ru/2149/2149607/cover/2149607.jpg", "Обложка")</f>
        <v>Обложка</v>
      </c>
      <c r="V1294" s="28" t="str">
        <f>HYPERLINK("https://znanium.ru/catalog/product/1984022", "Ознакомиться")</f>
        <v>Ознакомиться</v>
      </c>
      <c r="W1294" s="8" t="s">
        <v>114</v>
      </c>
      <c r="X1294" s="6"/>
      <c r="Y1294" s="6"/>
      <c r="Z1294" s="6"/>
      <c r="AA1294" s="6" t="s">
        <v>88</v>
      </c>
    </row>
    <row r="1295" spans="1:27" s="4" customFormat="1" ht="42" customHeight="1">
      <c r="A1295" s="5">
        <v>0</v>
      </c>
      <c r="B1295" s="6" t="s">
        <v>6995</v>
      </c>
      <c r="C1295" s="7">
        <v>1272</v>
      </c>
      <c r="D1295" s="8" t="s">
        <v>6996</v>
      </c>
      <c r="E1295" s="8" t="s">
        <v>6997</v>
      </c>
      <c r="F1295" s="8" t="s">
        <v>6651</v>
      </c>
      <c r="G1295" s="6" t="s">
        <v>58</v>
      </c>
      <c r="H1295" s="6" t="s">
        <v>84</v>
      </c>
      <c r="I1295" s="8" t="s">
        <v>250</v>
      </c>
      <c r="J1295" s="9">
        <v>1</v>
      </c>
      <c r="K1295" s="9">
        <v>209</v>
      </c>
      <c r="L1295" s="9">
        <v>2024</v>
      </c>
      <c r="M1295" s="8" t="s">
        <v>6998</v>
      </c>
      <c r="N1295" s="8" t="s">
        <v>40</v>
      </c>
      <c r="O1295" s="8" t="s">
        <v>41</v>
      </c>
      <c r="P1295" s="6" t="s">
        <v>42</v>
      </c>
      <c r="Q1295" s="8" t="s">
        <v>43</v>
      </c>
      <c r="R1295" s="10" t="s">
        <v>6999</v>
      </c>
      <c r="S1295" s="11"/>
      <c r="T1295" s="6"/>
      <c r="U1295" s="28" t="str">
        <f>HYPERLINK("https://media.infra-m.ru/2048/2048106/cover/2048106.jpg", "Обложка")</f>
        <v>Обложка</v>
      </c>
      <c r="V1295" s="28" t="str">
        <f>HYPERLINK("https://znanium.ru/catalog/product/2048106", "Ознакомиться")</f>
        <v>Ознакомиться</v>
      </c>
      <c r="W1295" s="8" t="s">
        <v>3139</v>
      </c>
      <c r="X1295" s="6" t="s">
        <v>3280</v>
      </c>
      <c r="Y1295" s="6"/>
      <c r="Z1295" s="6"/>
      <c r="AA1295" s="6" t="s">
        <v>100</v>
      </c>
    </row>
    <row r="1296" spans="1:27" s="4" customFormat="1" ht="51.95" customHeight="1">
      <c r="A1296" s="5">
        <v>0</v>
      </c>
      <c r="B1296" s="6" t="s">
        <v>7000</v>
      </c>
      <c r="C1296" s="7">
        <v>1896</v>
      </c>
      <c r="D1296" s="8" t="s">
        <v>7001</v>
      </c>
      <c r="E1296" s="8" t="s">
        <v>7002</v>
      </c>
      <c r="F1296" s="8" t="s">
        <v>7003</v>
      </c>
      <c r="G1296" s="6" t="s">
        <v>51</v>
      </c>
      <c r="H1296" s="6" t="s">
        <v>38</v>
      </c>
      <c r="I1296" s="8" t="s">
        <v>1127</v>
      </c>
      <c r="J1296" s="9">
        <v>1</v>
      </c>
      <c r="K1296" s="9">
        <v>352</v>
      </c>
      <c r="L1296" s="9">
        <v>2023</v>
      </c>
      <c r="M1296" s="8" t="s">
        <v>7004</v>
      </c>
      <c r="N1296" s="8" t="s">
        <v>40</v>
      </c>
      <c r="O1296" s="8" t="s">
        <v>41</v>
      </c>
      <c r="P1296" s="6" t="s">
        <v>556</v>
      </c>
      <c r="Q1296" s="8" t="s">
        <v>76</v>
      </c>
      <c r="R1296" s="10" t="s">
        <v>122</v>
      </c>
      <c r="S1296" s="11"/>
      <c r="T1296" s="6"/>
      <c r="U1296" s="28" t="str">
        <f>HYPERLINK("https://media.infra-m.ru/1894/1894148/cover/1894148.jpg", "Обложка")</f>
        <v>Обложка</v>
      </c>
      <c r="V1296" s="28" t="str">
        <f>HYPERLINK("https://znanium.ru/catalog/product/1894148", "Ознакомиться")</f>
        <v>Ознакомиться</v>
      </c>
      <c r="W1296" s="8" t="s">
        <v>1399</v>
      </c>
      <c r="X1296" s="6"/>
      <c r="Y1296" s="6"/>
      <c r="Z1296" s="6"/>
      <c r="AA1296" s="6" t="s">
        <v>2394</v>
      </c>
    </row>
    <row r="1297" spans="1:27" s="4" customFormat="1" ht="51.95" customHeight="1">
      <c r="A1297" s="5">
        <v>0</v>
      </c>
      <c r="B1297" s="6" t="s">
        <v>7005</v>
      </c>
      <c r="C1297" s="7">
        <v>1320</v>
      </c>
      <c r="D1297" s="8" t="s">
        <v>7006</v>
      </c>
      <c r="E1297" s="8" t="s">
        <v>7007</v>
      </c>
      <c r="F1297" s="8" t="s">
        <v>7008</v>
      </c>
      <c r="G1297" s="6" t="s">
        <v>51</v>
      </c>
      <c r="H1297" s="6" t="s">
        <v>38</v>
      </c>
      <c r="I1297" s="8" t="s">
        <v>1127</v>
      </c>
      <c r="J1297" s="9">
        <v>1</v>
      </c>
      <c r="K1297" s="9">
        <v>384</v>
      </c>
      <c r="L1297" s="9">
        <v>2020</v>
      </c>
      <c r="M1297" s="8" t="s">
        <v>7009</v>
      </c>
      <c r="N1297" s="8" t="s">
        <v>40</v>
      </c>
      <c r="O1297" s="8" t="s">
        <v>41</v>
      </c>
      <c r="P1297" s="6" t="s">
        <v>556</v>
      </c>
      <c r="Q1297" s="8" t="s">
        <v>76</v>
      </c>
      <c r="R1297" s="10" t="s">
        <v>122</v>
      </c>
      <c r="S1297" s="11"/>
      <c r="T1297" s="6"/>
      <c r="U1297" s="28" t="str">
        <f>HYPERLINK("https://media.infra-m.ru/1059/1059302/cover/1059302.jpg", "Обложка")</f>
        <v>Обложка</v>
      </c>
      <c r="V1297" s="28" t="str">
        <f>HYPERLINK("https://znanium.ru/catalog/product/1894148", "Ознакомиться")</f>
        <v>Ознакомиться</v>
      </c>
      <c r="W1297" s="8" t="s">
        <v>813</v>
      </c>
      <c r="X1297" s="6"/>
      <c r="Y1297" s="6"/>
      <c r="Z1297" s="6"/>
      <c r="AA1297" s="6" t="s">
        <v>1255</v>
      </c>
    </row>
    <row r="1298" spans="1:27" s="4" customFormat="1" ht="51.95" customHeight="1">
      <c r="A1298" s="5">
        <v>0</v>
      </c>
      <c r="B1298" s="6" t="s">
        <v>7010</v>
      </c>
      <c r="C1298" s="7">
        <v>3348</v>
      </c>
      <c r="D1298" s="8" t="s">
        <v>7011</v>
      </c>
      <c r="E1298" s="8" t="s">
        <v>7002</v>
      </c>
      <c r="F1298" s="8" t="s">
        <v>7012</v>
      </c>
      <c r="G1298" s="6" t="s">
        <v>58</v>
      </c>
      <c r="H1298" s="6" t="s">
        <v>84</v>
      </c>
      <c r="I1298" s="8" t="s">
        <v>1173</v>
      </c>
      <c r="J1298" s="9">
        <v>1</v>
      </c>
      <c r="K1298" s="9">
        <v>795</v>
      </c>
      <c r="L1298" s="9">
        <v>2024</v>
      </c>
      <c r="M1298" s="8" t="s">
        <v>7013</v>
      </c>
      <c r="N1298" s="8" t="s">
        <v>40</v>
      </c>
      <c r="O1298" s="8" t="s">
        <v>41</v>
      </c>
      <c r="P1298" s="6" t="s">
        <v>95</v>
      </c>
      <c r="Q1298" s="8" t="s">
        <v>1231</v>
      </c>
      <c r="R1298" s="10" t="s">
        <v>234</v>
      </c>
      <c r="S1298" s="11" t="s">
        <v>7014</v>
      </c>
      <c r="T1298" s="6"/>
      <c r="U1298" s="28" t="str">
        <f>HYPERLINK("https://media.infra-m.ru/2132/2132491/cover/2132491.jpg", "Обложка")</f>
        <v>Обложка</v>
      </c>
      <c r="V1298" s="28" t="str">
        <f>HYPERLINK("https://znanium.ru/catalog/product/2132491", "Ознакомиться")</f>
        <v>Ознакомиться</v>
      </c>
      <c r="W1298" s="8" t="s">
        <v>61</v>
      </c>
      <c r="X1298" s="6"/>
      <c r="Y1298" s="6"/>
      <c r="Z1298" s="6" t="s">
        <v>7015</v>
      </c>
      <c r="AA1298" s="6" t="s">
        <v>1225</v>
      </c>
    </row>
    <row r="1299" spans="1:27" s="4" customFormat="1" ht="51.95" customHeight="1">
      <c r="A1299" s="5">
        <v>0</v>
      </c>
      <c r="B1299" s="6" t="s">
        <v>7016</v>
      </c>
      <c r="C1299" s="7">
        <v>3108</v>
      </c>
      <c r="D1299" s="8" t="s">
        <v>7017</v>
      </c>
      <c r="E1299" s="8" t="s">
        <v>7002</v>
      </c>
      <c r="F1299" s="8" t="s">
        <v>7012</v>
      </c>
      <c r="G1299" s="6" t="s">
        <v>58</v>
      </c>
      <c r="H1299" s="6" t="s">
        <v>84</v>
      </c>
      <c r="I1299" s="8" t="s">
        <v>184</v>
      </c>
      <c r="J1299" s="9">
        <v>1</v>
      </c>
      <c r="K1299" s="9">
        <v>795</v>
      </c>
      <c r="L1299" s="9">
        <v>2024</v>
      </c>
      <c r="M1299" s="8" t="s">
        <v>7018</v>
      </c>
      <c r="N1299" s="8" t="s">
        <v>40</v>
      </c>
      <c r="O1299" s="8" t="s">
        <v>41</v>
      </c>
      <c r="P1299" s="6" t="s">
        <v>95</v>
      </c>
      <c r="Q1299" s="8" t="s">
        <v>76</v>
      </c>
      <c r="R1299" s="10" t="s">
        <v>234</v>
      </c>
      <c r="S1299" s="11"/>
      <c r="T1299" s="6"/>
      <c r="U1299" s="28" t="str">
        <f>HYPERLINK("https://media.infra-m.ru/2130/2130446/cover/2130446.jpg", "Обложка")</f>
        <v>Обложка</v>
      </c>
      <c r="V1299" s="28" t="str">
        <f>HYPERLINK("https://znanium.ru/catalog/product/2130446", "Ознакомиться")</f>
        <v>Ознакомиться</v>
      </c>
      <c r="W1299" s="8" t="s">
        <v>61</v>
      </c>
      <c r="X1299" s="6"/>
      <c r="Y1299" s="6"/>
      <c r="Z1299" s="6"/>
      <c r="AA1299" s="6" t="s">
        <v>2394</v>
      </c>
    </row>
    <row r="1300" spans="1:27" s="4" customFormat="1" ht="51.95" customHeight="1">
      <c r="A1300" s="5">
        <v>0</v>
      </c>
      <c r="B1300" s="6" t="s">
        <v>7019</v>
      </c>
      <c r="C1300" s="7">
        <v>2268</v>
      </c>
      <c r="D1300" s="8" t="s">
        <v>7020</v>
      </c>
      <c r="E1300" s="8" t="s">
        <v>7007</v>
      </c>
      <c r="F1300" s="8" t="s">
        <v>7012</v>
      </c>
      <c r="G1300" s="6" t="s">
        <v>37</v>
      </c>
      <c r="H1300" s="6" t="s">
        <v>84</v>
      </c>
      <c r="I1300" s="8" t="s">
        <v>184</v>
      </c>
      <c r="J1300" s="9">
        <v>1</v>
      </c>
      <c r="K1300" s="9">
        <v>772</v>
      </c>
      <c r="L1300" s="9">
        <v>2020</v>
      </c>
      <c r="M1300" s="8" t="s">
        <v>7021</v>
      </c>
      <c r="N1300" s="8" t="s">
        <v>40</v>
      </c>
      <c r="O1300" s="8" t="s">
        <v>41</v>
      </c>
      <c r="P1300" s="6" t="s">
        <v>95</v>
      </c>
      <c r="Q1300" s="8" t="s">
        <v>76</v>
      </c>
      <c r="R1300" s="10" t="s">
        <v>234</v>
      </c>
      <c r="S1300" s="11"/>
      <c r="T1300" s="6"/>
      <c r="U1300" s="28" t="str">
        <f>HYPERLINK("https://media.infra-m.ru/1046/1046896/cover/1046896.jpg", "Обложка")</f>
        <v>Обложка</v>
      </c>
      <c r="V1300" s="28" t="str">
        <f>HYPERLINK("https://znanium.ru/catalog/product/2130446", "Ознакомиться")</f>
        <v>Ознакомиться</v>
      </c>
      <c r="W1300" s="8" t="s">
        <v>61</v>
      </c>
      <c r="X1300" s="6"/>
      <c r="Y1300" s="6"/>
      <c r="Z1300" s="6"/>
      <c r="AA1300" s="6" t="s">
        <v>1219</v>
      </c>
    </row>
    <row r="1301" spans="1:27" s="4" customFormat="1" ht="51.95" customHeight="1">
      <c r="A1301" s="5">
        <v>0</v>
      </c>
      <c r="B1301" s="6" t="s">
        <v>7022</v>
      </c>
      <c r="C1301" s="7">
        <v>2705.9</v>
      </c>
      <c r="D1301" s="8" t="s">
        <v>7023</v>
      </c>
      <c r="E1301" s="8" t="s">
        <v>7007</v>
      </c>
      <c r="F1301" s="8" t="s">
        <v>7012</v>
      </c>
      <c r="G1301" s="6" t="s">
        <v>37</v>
      </c>
      <c r="H1301" s="6" t="s">
        <v>84</v>
      </c>
      <c r="I1301" s="8" t="s">
        <v>1173</v>
      </c>
      <c r="J1301" s="9">
        <v>1</v>
      </c>
      <c r="K1301" s="9">
        <v>772</v>
      </c>
      <c r="L1301" s="9">
        <v>2022</v>
      </c>
      <c r="M1301" s="8" t="s">
        <v>7024</v>
      </c>
      <c r="N1301" s="8" t="s">
        <v>40</v>
      </c>
      <c r="O1301" s="8" t="s">
        <v>41</v>
      </c>
      <c r="P1301" s="6" t="s">
        <v>95</v>
      </c>
      <c r="Q1301" s="8" t="s">
        <v>1231</v>
      </c>
      <c r="R1301" s="10" t="s">
        <v>234</v>
      </c>
      <c r="S1301" s="11" t="s">
        <v>7014</v>
      </c>
      <c r="T1301" s="6"/>
      <c r="U1301" s="28" t="str">
        <f>HYPERLINK("https://media.infra-m.ru/1898/1898373/cover/1898373.jpg", "Обложка")</f>
        <v>Обложка</v>
      </c>
      <c r="V1301" s="28" t="str">
        <f>HYPERLINK("https://znanium.ru/catalog/product/2132491", "Ознакомиться")</f>
        <v>Ознакомиться</v>
      </c>
      <c r="W1301" s="8" t="s">
        <v>61</v>
      </c>
      <c r="X1301" s="6"/>
      <c r="Y1301" s="6"/>
      <c r="Z1301" s="6" t="s">
        <v>7015</v>
      </c>
      <c r="AA1301" s="6" t="s">
        <v>201</v>
      </c>
    </row>
    <row r="1302" spans="1:27" s="4" customFormat="1" ht="51.95" customHeight="1">
      <c r="A1302" s="5">
        <v>0</v>
      </c>
      <c r="B1302" s="6" t="s">
        <v>7025</v>
      </c>
      <c r="C1302" s="7">
        <v>1559.9</v>
      </c>
      <c r="D1302" s="8" t="s">
        <v>7026</v>
      </c>
      <c r="E1302" s="8" t="s">
        <v>7027</v>
      </c>
      <c r="F1302" s="8" t="s">
        <v>7008</v>
      </c>
      <c r="G1302" s="6" t="s">
        <v>58</v>
      </c>
      <c r="H1302" s="6" t="s">
        <v>84</v>
      </c>
      <c r="I1302" s="8" t="s">
        <v>184</v>
      </c>
      <c r="J1302" s="9">
        <v>6</v>
      </c>
      <c r="K1302" s="9">
        <v>712</v>
      </c>
      <c r="L1302" s="9">
        <v>2017</v>
      </c>
      <c r="M1302" s="8" t="s">
        <v>7028</v>
      </c>
      <c r="N1302" s="8" t="s">
        <v>40</v>
      </c>
      <c r="O1302" s="8" t="s">
        <v>41</v>
      </c>
      <c r="P1302" s="6" t="s">
        <v>95</v>
      </c>
      <c r="Q1302" s="8" t="s">
        <v>76</v>
      </c>
      <c r="R1302" s="10" t="s">
        <v>234</v>
      </c>
      <c r="S1302" s="11" t="s">
        <v>7029</v>
      </c>
      <c r="T1302" s="6"/>
      <c r="U1302" s="28" t="str">
        <f>HYPERLINK("https://media.infra-m.ru/0612/0612658/cover/612658.jpg", "Обложка")</f>
        <v>Обложка</v>
      </c>
      <c r="V1302" s="28" t="str">
        <f>HYPERLINK("https://znanium.ru/catalog/product/2130446", "Ознакомиться")</f>
        <v>Ознакомиться</v>
      </c>
      <c r="W1302" s="8" t="s">
        <v>813</v>
      </c>
      <c r="X1302" s="6"/>
      <c r="Y1302" s="6"/>
      <c r="Z1302" s="6"/>
      <c r="AA1302" s="6" t="s">
        <v>195</v>
      </c>
    </row>
    <row r="1303" spans="1:27" s="4" customFormat="1" ht="51.95" customHeight="1">
      <c r="A1303" s="5">
        <v>0</v>
      </c>
      <c r="B1303" s="6" t="s">
        <v>7030</v>
      </c>
      <c r="C1303" s="7">
        <v>1152</v>
      </c>
      <c r="D1303" s="8" t="s">
        <v>7031</v>
      </c>
      <c r="E1303" s="8" t="s">
        <v>7032</v>
      </c>
      <c r="F1303" s="8" t="s">
        <v>7033</v>
      </c>
      <c r="G1303" s="6" t="s">
        <v>37</v>
      </c>
      <c r="H1303" s="6" t="s">
        <v>38</v>
      </c>
      <c r="I1303" s="8"/>
      <c r="J1303" s="9">
        <v>1</v>
      </c>
      <c r="K1303" s="9">
        <v>208</v>
      </c>
      <c r="L1303" s="9">
        <v>2024</v>
      </c>
      <c r="M1303" s="8" t="s">
        <v>7034</v>
      </c>
      <c r="N1303" s="8" t="s">
        <v>40</v>
      </c>
      <c r="O1303" s="8" t="s">
        <v>41</v>
      </c>
      <c r="P1303" s="6" t="s">
        <v>75</v>
      </c>
      <c r="Q1303" s="8" t="s">
        <v>76</v>
      </c>
      <c r="R1303" s="10" t="s">
        <v>591</v>
      </c>
      <c r="S1303" s="11" t="s">
        <v>1801</v>
      </c>
      <c r="T1303" s="6"/>
      <c r="U1303" s="28" t="str">
        <f>HYPERLINK("https://media.infra-m.ru/2084/2084242/cover/2084242.jpg", "Обложка")</f>
        <v>Обложка</v>
      </c>
      <c r="V1303" s="28" t="str">
        <f>HYPERLINK("https://znanium.ru/catalog/product/2084242", "Ознакомиться")</f>
        <v>Ознакомиться</v>
      </c>
      <c r="W1303" s="8" t="s">
        <v>194</v>
      </c>
      <c r="X1303" s="6"/>
      <c r="Y1303" s="6"/>
      <c r="Z1303" s="6"/>
      <c r="AA1303" s="6" t="s">
        <v>655</v>
      </c>
    </row>
    <row r="1304" spans="1:27" s="4" customFormat="1" ht="51.95" customHeight="1">
      <c r="A1304" s="5">
        <v>0</v>
      </c>
      <c r="B1304" s="6" t="s">
        <v>7035</v>
      </c>
      <c r="C1304" s="7">
        <v>1428</v>
      </c>
      <c r="D1304" s="8" t="s">
        <v>7036</v>
      </c>
      <c r="E1304" s="8" t="s">
        <v>7037</v>
      </c>
      <c r="F1304" s="8" t="s">
        <v>2164</v>
      </c>
      <c r="G1304" s="6" t="s">
        <v>51</v>
      </c>
      <c r="H1304" s="6" t="s">
        <v>410</v>
      </c>
      <c r="I1304" s="8" t="s">
        <v>1127</v>
      </c>
      <c r="J1304" s="9">
        <v>1</v>
      </c>
      <c r="K1304" s="9">
        <v>272</v>
      </c>
      <c r="L1304" s="9">
        <v>2024</v>
      </c>
      <c r="M1304" s="8" t="s">
        <v>7038</v>
      </c>
      <c r="N1304" s="8" t="s">
        <v>40</v>
      </c>
      <c r="O1304" s="8" t="s">
        <v>41</v>
      </c>
      <c r="P1304" s="6" t="s">
        <v>556</v>
      </c>
      <c r="Q1304" s="8" t="s">
        <v>76</v>
      </c>
      <c r="R1304" s="10" t="s">
        <v>1800</v>
      </c>
      <c r="S1304" s="11"/>
      <c r="T1304" s="6"/>
      <c r="U1304" s="28" t="str">
        <f>HYPERLINK("https://media.infra-m.ru/2114/2114310/cover/2114310.jpg", "Обложка")</f>
        <v>Обложка</v>
      </c>
      <c r="V1304" s="28" t="str">
        <f>HYPERLINK("https://znanium.ru/catalog/product/2114310", "Ознакомиться")</f>
        <v>Ознакомиться</v>
      </c>
      <c r="W1304" s="8" t="s">
        <v>78</v>
      </c>
      <c r="X1304" s="6"/>
      <c r="Y1304" s="6"/>
      <c r="Z1304" s="6"/>
      <c r="AA1304" s="6" t="s">
        <v>7039</v>
      </c>
    </row>
    <row r="1305" spans="1:27" s="4" customFormat="1" ht="51.95" customHeight="1">
      <c r="A1305" s="5">
        <v>0</v>
      </c>
      <c r="B1305" s="6" t="s">
        <v>7040</v>
      </c>
      <c r="C1305" s="7">
        <v>2076</v>
      </c>
      <c r="D1305" s="8" t="s">
        <v>7041</v>
      </c>
      <c r="E1305" s="8" t="s">
        <v>7042</v>
      </c>
      <c r="F1305" s="8" t="s">
        <v>7043</v>
      </c>
      <c r="G1305" s="6" t="s">
        <v>37</v>
      </c>
      <c r="H1305" s="6" t="s">
        <v>38</v>
      </c>
      <c r="I1305" s="8"/>
      <c r="J1305" s="9">
        <v>1</v>
      </c>
      <c r="K1305" s="9">
        <v>368</v>
      </c>
      <c r="L1305" s="9">
        <v>2024</v>
      </c>
      <c r="M1305" s="8" t="s">
        <v>7044</v>
      </c>
      <c r="N1305" s="8" t="s">
        <v>40</v>
      </c>
      <c r="O1305" s="8" t="s">
        <v>41</v>
      </c>
      <c r="P1305" s="6" t="s">
        <v>95</v>
      </c>
      <c r="Q1305" s="8" t="s">
        <v>76</v>
      </c>
      <c r="R1305" s="10" t="s">
        <v>234</v>
      </c>
      <c r="S1305" s="11" t="s">
        <v>7045</v>
      </c>
      <c r="T1305" s="6"/>
      <c r="U1305" s="28" t="str">
        <f>HYPERLINK("https://media.infra-m.ru/2126/2126343/cover/2126343.jpg", "Обложка")</f>
        <v>Обложка</v>
      </c>
      <c r="V1305" s="28" t="str">
        <f>HYPERLINK("https://znanium.ru/catalog/product/2126343", "Ознакомиться")</f>
        <v>Ознакомиться</v>
      </c>
      <c r="W1305" s="8" t="s">
        <v>114</v>
      </c>
      <c r="X1305" s="6"/>
      <c r="Y1305" s="6"/>
      <c r="Z1305" s="6"/>
      <c r="AA1305" s="6" t="s">
        <v>214</v>
      </c>
    </row>
    <row r="1306" spans="1:27" s="4" customFormat="1" ht="51.95" customHeight="1">
      <c r="A1306" s="5">
        <v>0</v>
      </c>
      <c r="B1306" s="6" t="s">
        <v>7046</v>
      </c>
      <c r="C1306" s="7">
        <v>1728</v>
      </c>
      <c r="D1306" s="8" t="s">
        <v>7047</v>
      </c>
      <c r="E1306" s="8" t="s">
        <v>7048</v>
      </c>
      <c r="F1306" s="8" t="s">
        <v>7049</v>
      </c>
      <c r="G1306" s="6" t="s">
        <v>37</v>
      </c>
      <c r="H1306" s="6" t="s">
        <v>84</v>
      </c>
      <c r="I1306" s="8" t="s">
        <v>120</v>
      </c>
      <c r="J1306" s="9">
        <v>1</v>
      </c>
      <c r="K1306" s="9">
        <v>312</v>
      </c>
      <c r="L1306" s="9">
        <v>2024</v>
      </c>
      <c r="M1306" s="8" t="s">
        <v>7050</v>
      </c>
      <c r="N1306" s="8" t="s">
        <v>40</v>
      </c>
      <c r="O1306" s="8" t="s">
        <v>41</v>
      </c>
      <c r="P1306" s="6" t="s">
        <v>95</v>
      </c>
      <c r="Q1306" s="8" t="s">
        <v>76</v>
      </c>
      <c r="R1306" s="10" t="s">
        <v>7051</v>
      </c>
      <c r="S1306" s="11" t="s">
        <v>661</v>
      </c>
      <c r="T1306" s="6"/>
      <c r="U1306" s="28" t="str">
        <f>HYPERLINK("https://media.infra-m.ru/2131/2131879/cover/2131879.jpg", "Обложка")</f>
        <v>Обложка</v>
      </c>
      <c r="V1306" s="28" t="str">
        <f>HYPERLINK("https://znanium.ru/catalog/product/1047130", "Ознакомиться")</f>
        <v>Ознакомиться</v>
      </c>
      <c r="W1306" s="8" t="s">
        <v>568</v>
      </c>
      <c r="X1306" s="6"/>
      <c r="Y1306" s="6"/>
      <c r="Z1306" s="6"/>
      <c r="AA1306" s="6" t="s">
        <v>148</v>
      </c>
    </row>
    <row r="1307" spans="1:27" s="4" customFormat="1" ht="42" customHeight="1">
      <c r="A1307" s="5">
        <v>0</v>
      </c>
      <c r="B1307" s="6" t="s">
        <v>7052</v>
      </c>
      <c r="C1307" s="13">
        <v>974.3</v>
      </c>
      <c r="D1307" s="8" t="s">
        <v>7053</v>
      </c>
      <c r="E1307" s="8" t="s">
        <v>7054</v>
      </c>
      <c r="F1307" s="8" t="s">
        <v>7055</v>
      </c>
      <c r="G1307" s="6" t="s">
        <v>58</v>
      </c>
      <c r="H1307" s="6" t="s">
        <v>38</v>
      </c>
      <c r="I1307" s="8"/>
      <c r="J1307" s="9">
        <v>1</v>
      </c>
      <c r="K1307" s="9">
        <v>230</v>
      </c>
      <c r="L1307" s="9">
        <v>2020</v>
      </c>
      <c r="M1307" s="8" t="s">
        <v>7056</v>
      </c>
      <c r="N1307" s="8" t="s">
        <v>40</v>
      </c>
      <c r="O1307" s="8" t="s">
        <v>41</v>
      </c>
      <c r="P1307" s="6" t="s">
        <v>42</v>
      </c>
      <c r="Q1307" s="8" t="s">
        <v>43</v>
      </c>
      <c r="R1307" s="10" t="s">
        <v>7057</v>
      </c>
      <c r="S1307" s="11"/>
      <c r="T1307" s="6"/>
      <c r="U1307" s="28" t="str">
        <f>HYPERLINK("https://media.infra-m.ru/1088/1088382/cover/1088382.jpg", "Обложка")</f>
        <v>Обложка</v>
      </c>
      <c r="V1307" s="28" t="str">
        <f>HYPERLINK("https://znanium.ru/catalog/product/1220177", "Ознакомиться")</f>
        <v>Ознакомиться</v>
      </c>
      <c r="W1307" s="8" t="s">
        <v>6740</v>
      </c>
      <c r="X1307" s="6"/>
      <c r="Y1307" s="6"/>
      <c r="Z1307" s="6"/>
      <c r="AA1307" s="6" t="s">
        <v>115</v>
      </c>
    </row>
    <row r="1308" spans="1:27" s="4" customFormat="1" ht="51.95" customHeight="1">
      <c r="A1308" s="5">
        <v>0</v>
      </c>
      <c r="B1308" s="6" t="s">
        <v>7058</v>
      </c>
      <c r="C1308" s="7">
        <v>1781.9</v>
      </c>
      <c r="D1308" s="8" t="s">
        <v>7059</v>
      </c>
      <c r="E1308" s="8" t="s">
        <v>7060</v>
      </c>
      <c r="F1308" s="8" t="s">
        <v>7061</v>
      </c>
      <c r="G1308" s="6" t="s">
        <v>58</v>
      </c>
      <c r="H1308" s="6" t="s">
        <v>38</v>
      </c>
      <c r="I1308" s="8"/>
      <c r="J1308" s="9">
        <v>1</v>
      </c>
      <c r="K1308" s="9">
        <v>360</v>
      </c>
      <c r="L1308" s="9">
        <v>2021</v>
      </c>
      <c r="M1308" s="8" t="s">
        <v>7062</v>
      </c>
      <c r="N1308" s="8" t="s">
        <v>40</v>
      </c>
      <c r="O1308" s="8" t="s">
        <v>41</v>
      </c>
      <c r="P1308" s="6" t="s">
        <v>42</v>
      </c>
      <c r="Q1308" s="8"/>
      <c r="R1308" s="10" t="s">
        <v>7063</v>
      </c>
      <c r="S1308" s="11"/>
      <c r="T1308" s="6"/>
      <c r="U1308" s="28" t="str">
        <f>HYPERLINK("https://media.infra-m.ru/1720/1720087/cover/1720087.jpg", "Обложка")</f>
        <v>Обложка</v>
      </c>
      <c r="V1308" s="28" t="str">
        <f>HYPERLINK("https://znanium.ru/catalog/product/1234622", "Ознакомиться")</f>
        <v>Ознакомиться</v>
      </c>
      <c r="W1308" s="8" t="s">
        <v>6740</v>
      </c>
      <c r="X1308" s="6"/>
      <c r="Y1308" s="6"/>
      <c r="Z1308" s="6"/>
      <c r="AA1308" s="6" t="s">
        <v>62</v>
      </c>
    </row>
    <row r="1309" spans="1:27" s="4" customFormat="1" ht="51.95" customHeight="1">
      <c r="A1309" s="5">
        <v>0</v>
      </c>
      <c r="B1309" s="6" t="s">
        <v>7064</v>
      </c>
      <c r="C1309" s="7">
        <v>2208</v>
      </c>
      <c r="D1309" s="8" t="s">
        <v>7065</v>
      </c>
      <c r="E1309" s="8" t="s">
        <v>7066</v>
      </c>
      <c r="F1309" s="8" t="s">
        <v>7067</v>
      </c>
      <c r="G1309" s="6" t="s">
        <v>58</v>
      </c>
      <c r="H1309" s="6" t="s">
        <v>38</v>
      </c>
      <c r="I1309" s="8"/>
      <c r="J1309" s="9">
        <v>1</v>
      </c>
      <c r="K1309" s="9">
        <v>400</v>
      </c>
      <c r="L1309" s="9">
        <v>2024</v>
      </c>
      <c r="M1309" s="8" t="s">
        <v>7068</v>
      </c>
      <c r="N1309" s="8" t="s">
        <v>40</v>
      </c>
      <c r="O1309" s="8" t="s">
        <v>41</v>
      </c>
      <c r="P1309" s="6" t="s">
        <v>95</v>
      </c>
      <c r="Q1309" s="8" t="s">
        <v>76</v>
      </c>
      <c r="R1309" s="10" t="s">
        <v>7069</v>
      </c>
      <c r="S1309" s="11"/>
      <c r="T1309" s="6"/>
      <c r="U1309" s="28" t="str">
        <f>HYPERLINK("https://media.infra-m.ru/2104/2104316/cover/2104316.jpg", "Обложка")</f>
        <v>Обложка</v>
      </c>
      <c r="V1309" s="28" t="str">
        <f>HYPERLINK("https://znanium.ru/catalog/product/2104316", "Ознакомиться")</f>
        <v>Ознакомиться</v>
      </c>
      <c r="W1309" s="8" t="s">
        <v>114</v>
      </c>
      <c r="X1309" s="6" t="s">
        <v>391</v>
      </c>
      <c r="Y1309" s="6"/>
      <c r="Z1309" s="6"/>
      <c r="AA1309" s="6" t="s">
        <v>392</v>
      </c>
    </row>
    <row r="1310" spans="1:27" s="4" customFormat="1" ht="51.95" customHeight="1">
      <c r="A1310" s="5">
        <v>0</v>
      </c>
      <c r="B1310" s="6" t="s">
        <v>7070</v>
      </c>
      <c r="C1310" s="7">
        <v>1476</v>
      </c>
      <c r="D1310" s="8" t="s">
        <v>7071</v>
      </c>
      <c r="E1310" s="8" t="s">
        <v>7072</v>
      </c>
      <c r="F1310" s="8" t="s">
        <v>7067</v>
      </c>
      <c r="G1310" s="6" t="s">
        <v>37</v>
      </c>
      <c r="H1310" s="6" t="s">
        <v>38</v>
      </c>
      <c r="I1310" s="8"/>
      <c r="J1310" s="9">
        <v>1</v>
      </c>
      <c r="K1310" s="9">
        <v>272</v>
      </c>
      <c r="L1310" s="9">
        <v>2019</v>
      </c>
      <c r="M1310" s="8" t="s">
        <v>7073</v>
      </c>
      <c r="N1310" s="8" t="s">
        <v>40</v>
      </c>
      <c r="O1310" s="8" t="s">
        <v>41</v>
      </c>
      <c r="P1310" s="6" t="s">
        <v>95</v>
      </c>
      <c r="Q1310" s="8" t="s">
        <v>76</v>
      </c>
      <c r="R1310" s="10" t="s">
        <v>7069</v>
      </c>
      <c r="S1310" s="11"/>
      <c r="T1310" s="6"/>
      <c r="U1310" s="28" t="str">
        <f>HYPERLINK("https://media.infra-m.ru/1012/1012773/cover/1012773.jpg", "Обложка")</f>
        <v>Обложка</v>
      </c>
      <c r="V1310" s="28" t="str">
        <f>HYPERLINK("https://znanium.ru/catalog/product/2104316", "Ознакомиться")</f>
        <v>Ознакомиться</v>
      </c>
      <c r="W1310" s="8" t="s">
        <v>114</v>
      </c>
      <c r="X1310" s="6"/>
      <c r="Y1310" s="6"/>
      <c r="Z1310" s="6"/>
      <c r="AA1310" s="6" t="s">
        <v>148</v>
      </c>
    </row>
    <row r="1311" spans="1:27" s="4" customFormat="1" ht="42" customHeight="1">
      <c r="A1311" s="5">
        <v>0</v>
      </c>
      <c r="B1311" s="6" t="s">
        <v>7074</v>
      </c>
      <c r="C1311" s="7">
        <v>1152</v>
      </c>
      <c r="D1311" s="8" t="s">
        <v>7075</v>
      </c>
      <c r="E1311" s="8" t="s">
        <v>7076</v>
      </c>
      <c r="F1311" s="8" t="s">
        <v>747</v>
      </c>
      <c r="G1311" s="6" t="s">
        <v>37</v>
      </c>
      <c r="H1311" s="6" t="s">
        <v>38</v>
      </c>
      <c r="I1311" s="8"/>
      <c r="J1311" s="9">
        <v>1</v>
      </c>
      <c r="K1311" s="9">
        <v>208</v>
      </c>
      <c r="L1311" s="9">
        <v>2024</v>
      </c>
      <c r="M1311" s="8" t="s">
        <v>7077</v>
      </c>
      <c r="N1311" s="8" t="s">
        <v>40</v>
      </c>
      <c r="O1311" s="8" t="s">
        <v>41</v>
      </c>
      <c r="P1311" s="6" t="s">
        <v>42</v>
      </c>
      <c r="Q1311" s="8" t="s">
        <v>43</v>
      </c>
      <c r="R1311" s="10" t="s">
        <v>806</v>
      </c>
      <c r="S1311" s="11"/>
      <c r="T1311" s="6"/>
      <c r="U1311" s="28" t="str">
        <f>HYPERLINK("https://media.infra-m.ru/2130/2130188/cover/2130188.jpg", "Обложка")</f>
        <v>Обложка</v>
      </c>
      <c r="V1311" s="28" t="str">
        <f>HYPERLINK("https://znanium.ru/catalog/product/2130188", "Ознакомиться")</f>
        <v>Ознакомиться</v>
      </c>
      <c r="W1311" s="8" t="s">
        <v>78</v>
      </c>
      <c r="X1311" s="6"/>
      <c r="Y1311" s="6"/>
      <c r="Z1311" s="6"/>
      <c r="AA1311" s="6" t="s">
        <v>148</v>
      </c>
    </row>
    <row r="1312" spans="1:27" s="4" customFormat="1" ht="51.95" customHeight="1">
      <c r="A1312" s="5">
        <v>0</v>
      </c>
      <c r="B1312" s="6" t="s">
        <v>7078</v>
      </c>
      <c r="C1312" s="7">
        <v>2124</v>
      </c>
      <c r="D1312" s="8" t="s">
        <v>7079</v>
      </c>
      <c r="E1312" s="8" t="s">
        <v>7080</v>
      </c>
      <c r="F1312" s="8" t="s">
        <v>7081</v>
      </c>
      <c r="G1312" s="6" t="s">
        <v>37</v>
      </c>
      <c r="H1312" s="6" t="s">
        <v>84</v>
      </c>
      <c r="I1312" s="8" t="s">
        <v>250</v>
      </c>
      <c r="J1312" s="9">
        <v>1</v>
      </c>
      <c r="K1312" s="9">
        <v>465</v>
      </c>
      <c r="L1312" s="9">
        <v>2022</v>
      </c>
      <c r="M1312" s="8" t="s">
        <v>7082</v>
      </c>
      <c r="N1312" s="8" t="s">
        <v>40</v>
      </c>
      <c r="O1312" s="8" t="s">
        <v>41</v>
      </c>
      <c r="P1312" s="6" t="s">
        <v>42</v>
      </c>
      <c r="Q1312" s="8" t="s">
        <v>43</v>
      </c>
      <c r="R1312" s="10" t="s">
        <v>7083</v>
      </c>
      <c r="S1312" s="11"/>
      <c r="T1312" s="6"/>
      <c r="U1312" s="28" t="str">
        <f>HYPERLINK("https://media.infra-m.ru/1689/1689649/cover/1689649.jpg", "Обложка")</f>
        <v>Обложка</v>
      </c>
      <c r="V1312" s="28" t="str">
        <f>HYPERLINK("https://znanium.ru/catalog/product/1689649", "Ознакомиться")</f>
        <v>Ознакомиться</v>
      </c>
      <c r="W1312" s="8" t="s">
        <v>236</v>
      </c>
      <c r="X1312" s="6"/>
      <c r="Y1312" s="6"/>
      <c r="Z1312" s="6"/>
      <c r="AA1312" s="6" t="s">
        <v>79</v>
      </c>
    </row>
    <row r="1313" spans="1:27" s="4" customFormat="1" ht="44.1" customHeight="1">
      <c r="A1313" s="5">
        <v>0</v>
      </c>
      <c r="B1313" s="6" t="s">
        <v>7084</v>
      </c>
      <c r="C1313" s="7">
        <v>1073.9000000000001</v>
      </c>
      <c r="D1313" s="8" t="s">
        <v>7085</v>
      </c>
      <c r="E1313" s="8" t="s">
        <v>7086</v>
      </c>
      <c r="F1313" s="8" t="s">
        <v>7087</v>
      </c>
      <c r="G1313" s="6" t="s">
        <v>51</v>
      </c>
      <c r="H1313" s="6" t="s">
        <v>84</v>
      </c>
      <c r="I1313" s="8" t="s">
        <v>250</v>
      </c>
      <c r="J1313" s="9">
        <v>1</v>
      </c>
      <c r="K1313" s="9">
        <v>199</v>
      </c>
      <c r="L1313" s="9">
        <v>2023</v>
      </c>
      <c r="M1313" s="8" t="s">
        <v>7088</v>
      </c>
      <c r="N1313" s="8" t="s">
        <v>40</v>
      </c>
      <c r="O1313" s="8" t="s">
        <v>41</v>
      </c>
      <c r="P1313" s="6" t="s">
        <v>42</v>
      </c>
      <c r="Q1313" s="8" t="s">
        <v>43</v>
      </c>
      <c r="R1313" s="10" t="s">
        <v>481</v>
      </c>
      <c r="S1313" s="11"/>
      <c r="T1313" s="6"/>
      <c r="U1313" s="28" t="str">
        <f>HYPERLINK("https://media.infra-m.ru/1902/1902917/cover/1902917.jpg", "Обложка")</f>
        <v>Обложка</v>
      </c>
      <c r="V1313" s="12"/>
      <c r="W1313" s="8" t="s">
        <v>1998</v>
      </c>
      <c r="X1313" s="6"/>
      <c r="Y1313" s="6"/>
      <c r="Z1313" s="6"/>
      <c r="AA1313" s="6" t="s">
        <v>424</v>
      </c>
    </row>
    <row r="1314" spans="1:27" s="4" customFormat="1" ht="51.95" customHeight="1">
      <c r="A1314" s="5">
        <v>0</v>
      </c>
      <c r="B1314" s="6" t="s">
        <v>7089</v>
      </c>
      <c r="C1314" s="7">
        <v>1224</v>
      </c>
      <c r="D1314" s="8" t="s">
        <v>7090</v>
      </c>
      <c r="E1314" s="8" t="s">
        <v>7091</v>
      </c>
      <c r="F1314" s="8" t="s">
        <v>7081</v>
      </c>
      <c r="G1314" s="6" t="s">
        <v>51</v>
      </c>
      <c r="H1314" s="6" t="s">
        <v>84</v>
      </c>
      <c r="I1314" s="8" t="s">
        <v>250</v>
      </c>
      <c r="J1314" s="9">
        <v>1</v>
      </c>
      <c r="K1314" s="9">
        <v>217</v>
      </c>
      <c r="L1314" s="9">
        <v>2024</v>
      </c>
      <c r="M1314" s="8" t="s">
        <v>7092</v>
      </c>
      <c r="N1314" s="8" t="s">
        <v>40</v>
      </c>
      <c r="O1314" s="8" t="s">
        <v>41</v>
      </c>
      <c r="P1314" s="6" t="s">
        <v>42</v>
      </c>
      <c r="Q1314" s="8" t="s">
        <v>43</v>
      </c>
      <c r="R1314" s="10" t="s">
        <v>469</v>
      </c>
      <c r="S1314" s="11"/>
      <c r="T1314" s="6"/>
      <c r="U1314" s="28" t="str">
        <f>HYPERLINK("https://media.infra-m.ru/2139/2139780/cover/2139780.jpg", "Обложка")</f>
        <v>Обложка</v>
      </c>
      <c r="V1314" s="28" t="str">
        <f>HYPERLINK("https://znanium.ru/catalog/product/2139780", "Ознакомиться")</f>
        <v>Ознакомиться</v>
      </c>
      <c r="W1314" s="8" t="s">
        <v>236</v>
      </c>
      <c r="X1314" s="6"/>
      <c r="Y1314" s="6"/>
      <c r="Z1314" s="6"/>
      <c r="AA1314" s="6" t="s">
        <v>79</v>
      </c>
    </row>
    <row r="1315" spans="1:27" s="4" customFormat="1" ht="51.95" customHeight="1">
      <c r="A1315" s="5">
        <v>0</v>
      </c>
      <c r="B1315" s="6" t="s">
        <v>7093</v>
      </c>
      <c r="C1315" s="7">
        <v>2260.8000000000002</v>
      </c>
      <c r="D1315" s="8" t="s">
        <v>7094</v>
      </c>
      <c r="E1315" s="8" t="s">
        <v>7095</v>
      </c>
      <c r="F1315" s="8" t="s">
        <v>7096</v>
      </c>
      <c r="G1315" s="6" t="s">
        <v>58</v>
      </c>
      <c r="H1315" s="6" t="s">
        <v>278</v>
      </c>
      <c r="I1315" s="8"/>
      <c r="J1315" s="9">
        <v>1</v>
      </c>
      <c r="K1315" s="9">
        <v>400</v>
      </c>
      <c r="L1315" s="9">
        <v>2024</v>
      </c>
      <c r="M1315" s="8" t="s">
        <v>7097</v>
      </c>
      <c r="N1315" s="8" t="s">
        <v>40</v>
      </c>
      <c r="O1315" s="8" t="s">
        <v>41</v>
      </c>
      <c r="P1315" s="6" t="s">
        <v>1586</v>
      </c>
      <c r="Q1315" s="8" t="s">
        <v>43</v>
      </c>
      <c r="R1315" s="10" t="s">
        <v>7098</v>
      </c>
      <c r="S1315" s="11"/>
      <c r="T1315" s="6"/>
      <c r="U1315" s="28" t="str">
        <f>HYPERLINK("https://media.infra-m.ru/2131/2131621/cover/2131621.jpg", "Обложка")</f>
        <v>Обложка</v>
      </c>
      <c r="V1315" s="12"/>
      <c r="W1315" s="8" t="s">
        <v>3146</v>
      </c>
      <c r="X1315" s="6"/>
      <c r="Y1315" s="6"/>
      <c r="Z1315" s="6"/>
      <c r="AA1315" s="6" t="s">
        <v>424</v>
      </c>
    </row>
    <row r="1316" spans="1:27" s="4" customFormat="1" ht="51.95" customHeight="1">
      <c r="A1316" s="5">
        <v>0</v>
      </c>
      <c r="B1316" s="6" t="s">
        <v>7099</v>
      </c>
      <c r="C1316" s="7">
        <v>2208</v>
      </c>
      <c r="D1316" s="8" t="s">
        <v>7100</v>
      </c>
      <c r="E1316" s="8" t="s">
        <v>7101</v>
      </c>
      <c r="F1316" s="8" t="s">
        <v>6581</v>
      </c>
      <c r="G1316" s="6" t="s">
        <v>37</v>
      </c>
      <c r="H1316" s="6" t="s">
        <v>38</v>
      </c>
      <c r="I1316" s="8"/>
      <c r="J1316" s="9">
        <v>1</v>
      </c>
      <c r="K1316" s="9">
        <v>400</v>
      </c>
      <c r="L1316" s="9">
        <v>2024</v>
      </c>
      <c r="M1316" s="8" t="s">
        <v>7102</v>
      </c>
      <c r="N1316" s="8" t="s">
        <v>40</v>
      </c>
      <c r="O1316" s="8" t="s">
        <v>41</v>
      </c>
      <c r="P1316" s="6" t="s">
        <v>75</v>
      </c>
      <c r="Q1316" s="8" t="s">
        <v>1231</v>
      </c>
      <c r="R1316" s="10" t="s">
        <v>7103</v>
      </c>
      <c r="S1316" s="11"/>
      <c r="T1316" s="6"/>
      <c r="U1316" s="28" t="str">
        <f>HYPERLINK("https://media.infra-m.ru/2132/2132150/cover/2132150.jpg", "Обложка")</f>
        <v>Обложка</v>
      </c>
      <c r="V1316" s="28" t="str">
        <f>HYPERLINK("https://znanium.ru/catalog/product/2132150", "Ознакомиться")</f>
        <v>Ознакомиться</v>
      </c>
      <c r="W1316" s="8" t="s">
        <v>114</v>
      </c>
      <c r="X1316" s="6"/>
      <c r="Y1316" s="6"/>
      <c r="Z1316" s="6"/>
      <c r="AA1316" s="6" t="s">
        <v>46</v>
      </c>
    </row>
    <row r="1317" spans="1:27" s="4" customFormat="1" ht="51.95" customHeight="1">
      <c r="A1317" s="5">
        <v>0</v>
      </c>
      <c r="B1317" s="6" t="s">
        <v>7104</v>
      </c>
      <c r="C1317" s="13">
        <v>816</v>
      </c>
      <c r="D1317" s="8" t="s">
        <v>7105</v>
      </c>
      <c r="E1317" s="8" t="s">
        <v>7106</v>
      </c>
      <c r="F1317" s="8" t="s">
        <v>7107</v>
      </c>
      <c r="G1317" s="6" t="s">
        <v>37</v>
      </c>
      <c r="H1317" s="6" t="s">
        <v>84</v>
      </c>
      <c r="I1317" s="8" t="s">
        <v>184</v>
      </c>
      <c r="J1317" s="9">
        <v>1</v>
      </c>
      <c r="K1317" s="9">
        <v>170</v>
      </c>
      <c r="L1317" s="9">
        <v>2022</v>
      </c>
      <c r="M1317" s="8" t="s">
        <v>7108</v>
      </c>
      <c r="N1317" s="8" t="s">
        <v>40</v>
      </c>
      <c r="O1317" s="8" t="s">
        <v>41</v>
      </c>
      <c r="P1317" s="6" t="s">
        <v>75</v>
      </c>
      <c r="Q1317" s="8" t="s">
        <v>76</v>
      </c>
      <c r="R1317" s="10" t="s">
        <v>7109</v>
      </c>
      <c r="S1317" s="11" t="s">
        <v>7110</v>
      </c>
      <c r="T1317" s="6" t="s">
        <v>378</v>
      </c>
      <c r="U1317" s="28" t="str">
        <f>HYPERLINK("https://media.infra-m.ru/1863/1863279/cover/1863279.jpg", "Обложка")</f>
        <v>Обложка</v>
      </c>
      <c r="V1317" s="28" t="str">
        <f>HYPERLINK("https://znanium.ru/catalog/product/1863279", "Ознакомиться")</f>
        <v>Ознакомиться</v>
      </c>
      <c r="W1317" s="8" t="s">
        <v>7111</v>
      </c>
      <c r="X1317" s="6"/>
      <c r="Y1317" s="6"/>
      <c r="Z1317" s="6"/>
      <c r="AA1317" s="6" t="s">
        <v>46</v>
      </c>
    </row>
    <row r="1318" spans="1:27" s="4" customFormat="1" ht="42" customHeight="1">
      <c r="A1318" s="5">
        <v>0</v>
      </c>
      <c r="B1318" s="6" t="s">
        <v>7112</v>
      </c>
      <c r="C1318" s="7">
        <v>1152</v>
      </c>
      <c r="D1318" s="8" t="s">
        <v>7113</v>
      </c>
      <c r="E1318" s="8" t="s">
        <v>7114</v>
      </c>
      <c r="F1318" s="8" t="s">
        <v>7115</v>
      </c>
      <c r="G1318" s="6" t="s">
        <v>51</v>
      </c>
      <c r="H1318" s="6" t="s">
        <v>84</v>
      </c>
      <c r="I1318" s="8" t="s">
        <v>85</v>
      </c>
      <c r="J1318" s="9">
        <v>1</v>
      </c>
      <c r="K1318" s="9">
        <v>245</v>
      </c>
      <c r="L1318" s="9">
        <v>2022</v>
      </c>
      <c r="M1318" s="8" t="s">
        <v>7116</v>
      </c>
      <c r="N1318" s="8" t="s">
        <v>40</v>
      </c>
      <c r="O1318" s="8" t="s">
        <v>41</v>
      </c>
      <c r="P1318" s="6" t="s">
        <v>42</v>
      </c>
      <c r="Q1318" s="8" t="s">
        <v>43</v>
      </c>
      <c r="R1318" s="10" t="s">
        <v>308</v>
      </c>
      <c r="S1318" s="11"/>
      <c r="T1318" s="6"/>
      <c r="U1318" s="28" t="str">
        <f>HYPERLINK("https://media.infra-m.ru/1851/1851138/cover/1851138.jpg", "Обложка")</f>
        <v>Обложка</v>
      </c>
      <c r="V1318" s="28" t="str">
        <f>HYPERLINK("https://znanium.ru/catalog/product/1851138", "Ознакомиться")</f>
        <v>Ознакомиться</v>
      </c>
      <c r="W1318" s="8" t="s">
        <v>45</v>
      </c>
      <c r="X1318" s="6"/>
      <c r="Y1318" s="6"/>
      <c r="Z1318" s="6"/>
      <c r="AA1318" s="6" t="s">
        <v>431</v>
      </c>
    </row>
    <row r="1319" spans="1:27" s="4" customFormat="1" ht="42" customHeight="1">
      <c r="A1319" s="5">
        <v>0</v>
      </c>
      <c r="B1319" s="6" t="s">
        <v>7117</v>
      </c>
      <c r="C1319" s="13">
        <v>732</v>
      </c>
      <c r="D1319" s="8" t="s">
        <v>7118</v>
      </c>
      <c r="E1319" s="8" t="s">
        <v>7119</v>
      </c>
      <c r="F1319" s="8" t="s">
        <v>7120</v>
      </c>
      <c r="G1319" s="6" t="s">
        <v>51</v>
      </c>
      <c r="H1319" s="6" t="s">
        <v>84</v>
      </c>
      <c r="I1319" s="8" t="s">
        <v>250</v>
      </c>
      <c r="J1319" s="9">
        <v>1</v>
      </c>
      <c r="K1319" s="9">
        <v>136</v>
      </c>
      <c r="L1319" s="9">
        <v>2022</v>
      </c>
      <c r="M1319" s="8" t="s">
        <v>7121</v>
      </c>
      <c r="N1319" s="8" t="s">
        <v>40</v>
      </c>
      <c r="O1319" s="8" t="s">
        <v>41</v>
      </c>
      <c r="P1319" s="6" t="s">
        <v>42</v>
      </c>
      <c r="Q1319" s="8" t="s">
        <v>43</v>
      </c>
      <c r="R1319" s="10" t="s">
        <v>314</v>
      </c>
      <c r="S1319" s="11"/>
      <c r="T1319" s="6"/>
      <c r="U1319" s="28" t="str">
        <f>HYPERLINK("https://media.infra-m.ru/1891/1891262/cover/1891262.jpg", "Обложка")</f>
        <v>Обложка</v>
      </c>
      <c r="V1319" s="28" t="str">
        <f>HYPERLINK("https://znanium.ru/catalog/product/1891262", "Ознакомиться")</f>
        <v>Ознакомиться</v>
      </c>
      <c r="W1319" s="8" t="s">
        <v>3432</v>
      </c>
      <c r="X1319" s="6"/>
      <c r="Y1319" s="6"/>
      <c r="Z1319" s="6"/>
      <c r="AA1319" s="6" t="s">
        <v>293</v>
      </c>
    </row>
    <row r="1320" spans="1:27" s="4" customFormat="1" ht="42" customHeight="1">
      <c r="A1320" s="5">
        <v>0</v>
      </c>
      <c r="B1320" s="6" t="s">
        <v>7122</v>
      </c>
      <c r="C1320" s="7">
        <v>1612.8</v>
      </c>
      <c r="D1320" s="8" t="s">
        <v>7123</v>
      </c>
      <c r="E1320" s="8" t="s">
        <v>7124</v>
      </c>
      <c r="F1320" s="8" t="s">
        <v>7125</v>
      </c>
      <c r="G1320" s="6" t="s">
        <v>37</v>
      </c>
      <c r="H1320" s="6" t="s">
        <v>84</v>
      </c>
      <c r="I1320" s="8" t="s">
        <v>250</v>
      </c>
      <c r="J1320" s="9">
        <v>1</v>
      </c>
      <c r="K1320" s="9">
        <v>297</v>
      </c>
      <c r="L1320" s="9">
        <v>2023</v>
      </c>
      <c r="M1320" s="8" t="s">
        <v>7126</v>
      </c>
      <c r="N1320" s="8" t="s">
        <v>40</v>
      </c>
      <c r="O1320" s="8" t="s">
        <v>41</v>
      </c>
      <c r="P1320" s="6" t="s">
        <v>42</v>
      </c>
      <c r="Q1320" s="8" t="s">
        <v>43</v>
      </c>
      <c r="R1320" s="10" t="s">
        <v>7127</v>
      </c>
      <c r="S1320" s="11"/>
      <c r="T1320" s="6"/>
      <c r="U1320" s="28" t="str">
        <f>HYPERLINK("https://media.infra-m.ru/2006/2006093/cover/2006093.jpg", "Обложка")</f>
        <v>Обложка</v>
      </c>
      <c r="V1320" s="28" t="str">
        <f>HYPERLINK("https://znanium.ru/catalog/product/989153", "Ознакомиться")</f>
        <v>Ознакомиться</v>
      </c>
      <c r="W1320" s="8" t="s">
        <v>3406</v>
      </c>
      <c r="X1320" s="6"/>
      <c r="Y1320" s="6"/>
      <c r="Z1320" s="6"/>
      <c r="AA1320" s="6" t="s">
        <v>148</v>
      </c>
    </row>
    <row r="1321" spans="1:27" s="4" customFormat="1" ht="42" customHeight="1">
      <c r="A1321" s="5">
        <v>0</v>
      </c>
      <c r="B1321" s="6" t="s">
        <v>7128</v>
      </c>
      <c r="C1321" s="7">
        <v>1380</v>
      </c>
      <c r="D1321" s="8" t="s">
        <v>7129</v>
      </c>
      <c r="E1321" s="8" t="s">
        <v>7130</v>
      </c>
      <c r="F1321" s="8" t="s">
        <v>7131</v>
      </c>
      <c r="G1321" s="6" t="s">
        <v>37</v>
      </c>
      <c r="H1321" s="6" t="s">
        <v>38</v>
      </c>
      <c r="I1321" s="8"/>
      <c r="J1321" s="9">
        <v>1</v>
      </c>
      <c r="K1321" s="9">
        <v>256</v>
      </c>
      <c r="L1321" s="9">
        <v>2023</v>
      </c>
      <c r="M1321" s="8" t="s">
        <v>7132</v>
      </c>
      <c r="N1321" s="8" t="s">
        <v>40</v>
      </c>
      <c r="O1321" s="8" t="s">
        <v>41</v>
      </c>
      <c r="P1321" s="6" t="s">
        <v>42</v>
      </c>
      <c r="Q1321" s="8" t="s">
        <v>43</v>
      </c>
      <c r="R1321" s="10" t="s">
        <v>314</v>
      </c>
      <c r="S1321" s="11"/>
      <c r="T1321" s="6"/>
      <c r="U1321" s="28" t="str">
        <f>HYPERLINK("https://media.infra-m.ru/1929/1929162/cover/1929162.jpg", "Обложка")</f>
        <v>Обложка</v>
      </c>
      <c r="V1321" s="28" t="str">
        <f>HYPERLINK("https://znanium.ru/catalog/product/1929162", "Ознакомиться")</f>
        <v>Ознакомиться</v>
      </c>
      <c r="W1321" s="8" t="s">
        <v>78</v>
      </c>
      <c r="X1321" s="6"/>
      <c r="Y1321" s="6"/>
      <c r="Z1321" s="6"/>
      <c r="AA1321" s="6" t="s">
        <v>46</v>
      </c>
    </row>
    <row r="1322" spans="1:27" s="4" customFormat="1" ht="51.95" customHeight="1">
      <c r="A1322" s="5">
        <v>0</v>
      </c>
      <c r="B1322" s="6" t="s">
        <v>7133</v>
      </c>
      <c r="C1322" s="7">
        <v>2040</v>
      </c>
      <c r="D1322" s="8" t="s">
        <v>7134</v>
      </c>
      <c r="E1322" s="8" t="s">
        <v>7135</v>
      </c>
      <c r="F1322" s="8" t="s">
        <v>7136</v>
      </c>
      <c r="G1322" s="6" t="s">
        <v>58</v>
      </c>
      <c r="H1322" s="6" t="s">
        <v>38</v>
      </c>
      <c r="I1322" s="8"/>
      <c r="J1322" s="9">
        <v>1</v>
      </c>
      <c r="K1322" s="9">
        <v>368</v>
      </c>
      <c r="L1322" s="9">
        <v>2024</v>
      </c>
      <c r="M1322" s="8" t="s">
        <v>7137</v>
      </c>
      <c r="N1322" s="8" t="s">
        <v>40</v>
      </c>
      <c r="O1322" s="8" t="s">
        <v>41</v>
      </c>
      <c r="P1322" s="6" t="s">
        <v>2610</v>
      </c>
      <c r="Q1322" s="8" t="s">
        <v>515</v>
      </c>
      <c r="R1322" s="10" t="s">
        <v>7138</v>
      </c>
      <c r="S1322" s="11"/>
      <c r="T1322" s="6"/>
      <c r="U1322" s="28" t="str">
        <f>HYPERLINK("https://media.infra-m.ru/2117/2117069/cover/2117069.jpg", "Обложка")</f>
        <v>Обложка</v>
      </c>
      <c r="V1322" s="28" t="str">
        <f>HYPERLINK("https://znanium.ru/catalog/product/2117069", "Ознакомиться")</f>
        <v>Ознакомиться</v>
      </c>
      <c r="W1322" s="8" t="s">
        <v>124</v>
      </c>
      <c r="X1322" s="6" t="s">
        <v>264</v>
      </c>
      <c r="Y1322" s="6"/>
      <c r="Z1322" s="6"/>
      <c r="AA1322" s="6" t="s">
        <v>100</v>
      </c>
    </row>
    <row r="1323" spans="1:27" s="4" customFormat="1" ht="51.95" customHeight="1">
      <c r="A1323" s="5">
        <v>0</v>
      </c>
      <c r="B1323" s="6" t="s">
        <v>7139</v>
      </c>
      <c r="C1323" s="13">
        <v>893.9</v>
      </c>
      <c r="D1323" s="8" t="s">
        <v>7140</v>
      </c>
      <c r="E1323" s="8" t="s">
        <v>7135</v>
      </c>
      <c r="F1323" s="8" t="s">
        <v>7141</v>
      </c>
      <c r="G1323" s="6" t="s">
        <v>58</v>
      </c>
      <c r="H1323" s="6" t="s">
        <v>52</v>
      </c>
      <c r="I1323" s="8" t="s">
        <v>184</v>
      </c>
      <c r="J1323" s="9">
        <v>1</v>
      </c>
      <c r="K1323" s="9">
        <v>254</v>
      </c>
      <c r="L1323" s="9">
        <v>2017</v>
      </c>
      <c r="M1323" s="8" t="s">
        <v>7142</v>
      </c>
      <c r="N1323" s="8" t="s">
        <v>40</v>
      </c>
      <c r="O1323" s="8" t="s">
        <v>41</v>
      </c>
      <c r="P1323" s="6" t="s">
        <v>75</v>
      </c>
      <c r="Q1323" s="8" t="s">
        <v>76</v>
      </c>
      <c r="R1323" s="10" t="s">
        <v>7143</v>
      </c>
      <c r="S1323" s="11"/>
      <c r="T1323" s="6"/>
      <c r="U1323" s="12"/>
      <c r="V1323" s="28" t="str">
        <f>HYPERLINK("https://znanium.ru/catalog/product/898583", "Ознакомиться")</f>
        <v>Ознакомиться</v>
      </c>
      <c r="W1323" s="8" t="s">
        <v>1685</v>
      </c>
      <c r="X1323" s="6"/>
      <c r="Y1323" s="6"/>
      <c r="Z1323" s="6"/>
      <c r="AA1323" s="6" t="s">
        <v>293</v>
      </c>
    </row>
    <row r="1324" spans="1:27" s="4" customFormat="1" ht="51.95" customHeight="1">
      <c r="A1324" s="5">
        <v>0</v>
      </c>
      <c r="B1324" s="6" t="s">
        <v>7144</v>
      </c>
      <c r="C1324" s="13">
        <v>996</v>
      </c>
      <c r="D1324" s="8" t="s">
        <v>7145</v>
      </c>
      <c r="E1324" s="8" t="s">
        <v>7146</v>
      </c>
      <c r="F1324" s="8" t="s">
        <v>1682</v>
      </c>
      <c r="G1324" s="6" t="s">
        <v>58</v>
      </c>
      <c r="H1324" s="6" t="s">
        <v>52</v>
      </c>
      <c r="I1324" s="8" t="s">
        <v>184</v>
      </c>
      <c r="J1324" s="9">
        <v>1</v>
      </c>
      <c r="K1324" s="9">
        <v>251</v>
      </c>
      <c r="L1324" s="9">
        <v>2018</v>
      </c>
      <c r="M1324" s="8" t="s">
        <v>7147</v>
      </c>
      <c r="N1324" s="8" t="s">
        <v>40</v>
      </c>
      <c r="O1324" s="8" t="s">
        <v>41</v>
      </c>
      <c r="P1324" s="6" t="s">
        <v>75</v>
      </c>
      <c r="Q1324" s="8" t="s">
        <v>76</v>
      </c>
      <c r="R1324" s="10" t="s">
        <v>7143</v>
      </c>
      <c r="S1324" s="11"/>
      <c r="T1324" s="6"/>
      <c r="U1324" s="28" t="str">
        <f>HYPERLINK("https://media.infra-m.ru/0989/0989852/cover/989852.jpg", "Обложка")</f>
        <v>Обложка</v>
      </c>
      <c r="V1324" s="28" t="str">
        <f>HYPERLINK("https://znanium.ru/catalog/product/898583", "Ознакомиться")</f>
        <v>Ознакомиться</v>
      </c>
      <c r="W1324" s="8" t="s">
        <v>1685</v>
      </c>
      <c r="X1324" s="6"/>
      <c r="Y1324" s="6"/>
      <c r="Z1324" s="6"/>
      <c r="AA1324" s="6" t="s">
        <v>171</v>
      </c>
    </row>
    <row r="1325" spans="1:27" s="4" customFormat="1" ht="51.95" customHeight="1">
      <c r="A1325" s="5">
        <v>0</v>
      </c>
      <c r="B1325" s="6" t="s">
        <v>7148</v>
      </c>
      <c r="C1325" s="7">
        <v>3360</v>
      </c>
      <c r="D1325" s="8" t="s">
        <v>7149</v>
      </c>
      <c r="E1325" s="8" t="s">
        <v>7150</v>
      </c>
      <c r="F1325" s="8" t="s">
        <v>7151</v>
      </c>
      <c r="G1325" s="6" t="s">
        <v>58</v>
      </c>
      <c r="H1325" s="6" t="s">
        <v>38</v>
      </c>
      <c r="I1325" s="8"/>
      <c r="J1325" s="9">
        <v>1</v>
      </c>
      <c r="K1325" s="9">
        <v>608</v>
      </c>
      <c r="L1325" s="9">
        <v>2024</v>
      </c>
      <c r="M1325" s="8" t="s">
        <v>7152</v>
      </c>
      <c r="N1325" s="8" t="s">
        <v>40</v>
      </c>
      <c r="O1325" s="8" t="s">
        <v>41</v>
      </c>
      <c r="P1325" s="6" t="s">
        <v>42</v>
      </c>
      <c r="Q1325" s="8" t="s">
        <v>43</v>
      </c>
      <c r="R1325" s="10" t="s">
        <v>6008</v>
      </c>
      <c r="S1325" s="11"/>
      <c r="T1325" s="6"/>
      <c r="U1325" s="28" t="str">
        <f>HYPERLINK("https://media.infra-m.ru/2083/2083859/cover/2083859.jpg", "Обложка")</f>
        <v>Обложка</v>
      </c>
      <c r="V1325" s="28" t="str">
        <f>HYPERLINK("https://znanium.ru/catalog/product/2083859", "Ознакомиться")</f>
        <v>Ознакомиться</v>
      </c>
      <c r="W1325" s="8" t="s">
        <v>114</v>
      </c>
      <c r="X1325" s="6"/>
      <c r="Y1325" s="6"/>
      <c r="Z1325" s="6"/>
      <c r="AA1325" s="6" t="s">
        <v>353</v>
      </c>
    </row>
    <row r="1326" spans="1:27" s="4" customFormat="1" ht="51.95" customHeight="1">
      <c r="A1326" s="5">
        <v>0</v>
      </c>
      <c r="B1326" s="6" t="s">
        <v>7153</v>
      </c>
      <c r="C1326" s="7">
        <v>3133.2</v>
      </c>
      <c r="D1326" s="8" t="s">
        <v>7154</v>
      </c>
      <c r="E1326" s="8" t="s">
        <v>7155</v>
      </c>
      <c r="F1326" s="8" t="s">
        <v>7156</v>
      </c>
      <c r="G1326" s="6" t="s">
        <v>58</v>
      </c>
      <c r="H1326" s="6" t="s">
        <v>38</v>
      </c>
      <c r="I1326" s="8"/>
      <c r="J1326" s="9">
        <v>1</v>
      </c>
      <c r="K1326" s="9">
        <v>568</v>
      </c>
      <c r="L1326" s="9">
        <v>2024</v>
      </c>
      <c r="M1326" s="8" t="s">
        <v>7157</v>
      </c>
      <c r="N1326" s="8" t="s">
        <v>40</v>
      </c>
      <c r="O1326" s="8" t="s">
        <v>41</v>
      </c>
      <c r="P1326" s="6" t="s">
        <v>42</v>
      </c>
      <c r="Q1326" s="8" t="s">
        <v>43</v>
      </c>
      <c r="R1326" s="10" t="s">
        <v>7158</v>
      </c>
      <c r="S1326" s="11"/>
      <c r="T1326" s="6"/>
      <c r="U1326" s="28" t="str">
        <f>HYPERLINK("https://media.infra-m.ru/2125/2125422/cover/2125422.jpg", "Обложка")</f>
        <v>Обложка</v>
      </c>
      <c r="V1326" s="28" t="str">
        <f>HYPERLINK("https://znanium.ru/catalog/product/2125422", "Ознакомиться")</f>
        <v>Ознакомиться</v>
      </c>
      <c r="W1326" s="8" t="s">
        <v>124</v>
      </c>
      <c r="X1326" s="6"/>
      <c r="Y1326" s="6"/>
      <c r="Z1326" s="6"/>
      <c r="AA1326" s="6" t="s">
        <v>353</v>
      </c>
    </row>
    <row r="1327" spans="1:27" s="4" customFormat="1" ht="51.95" customHeight="1">
      <c r="A1327" s="5">
        <v>0</v>
      </c>
      <c r="B1327" s="6" t="s">
        <v>7159</v>
      </c>
      <c r="C1327" s="7">
        <v>3588</v>
      </c>
      <c r="D1327" s="8" t="s">
        <v>7160</v>
      </c>
      <c r="E1327" s="8" t="s">
        <v>7161</v>
      </c>
      <c r="F1327" s="8" t="s">
        <v>7162</v>
      </c>
      <c r="G1327" s="6" t="s">
        <v>58</v>
      </c>
      <c r="H1327" s="6" t="s">
        <v>38</v>
      </c>
      <c r="I1327" s="8"/>
      <c r="J1327" s="9">
        <v>1</v>
      </c>
      <c r="K1327" s="9">
        <v>776</v>
      </c>
      <c r="L1327" s="9">
        <v>2023</v>
      </c>
      <c r="M1327" s="8" t="s">
        <v>7163</v>
      </c>
      <c r="N1327" s="8" t="s">
        <v>40</v>
      </c>
      <c r="O1327" s="8" t="s">
        <v>41</v>
      </c>
      <c r="P1327" s="6" t="s">
        <v>95</v>
      </c>
      <c r="Q1327" s="8" t="s">
        <v>76</v>
      </c>
      <c r="R1327" s="10" t="s">
        <v>122</v>
      </c>
      <c r="S1327" s="11"/>
      <c r="T1327" s="6"/>
      <c r="U1327" s="28" t="str">
        <f>HYPERLINK("https://media.infra-m.ru/1908/1908882/cover/1908882.jpg", "Обложка")</f>
        <v>Обложка</v>
      </c>
      <c r="V1327" s="28" t="str">
        <f>HYPERLINK("https://znanium.ru/catalog/product/1908882", "Ознакомиться")</f>
        <v>Ознакомиться</v>
      </c>
      <c r="W1327" s="8" t="s">
        <v>1393</v>
      </c>
      <c r="X1327" s="6"/>
      <c r="Y1327" s="6"/>
      <c r="Z1327" s="6"/>
      <c r="AA1327" s="6" t="s">
        <v>417</v>
      </c>
    </row>
    <row r="1328" spans="1:27" s="4" customFormat="1" ht="51.95" customHeight="1">
      <c r="A1328" s="5">
        <v>0</v>
      </c>
      <c r="B1328" s="6" t="s">
        <v>7164</v>
      </c>
      <c r="C1328" s="7">
        <v>1613.9</v>
      </c>
      <c r="D1328" s="8" t="s">
        <v>7165</v>
      </c>
      <c r="E1328" s="8" t="s">
        <v>7166</v>
      </c>
      <c r="F1328" s="8" t="s">
        <v>7167</v>
      </c>
      <c r="G1328" s="6" t="s">
        <v>58</v>
      </c>
      <c r="H1328" s="6" t="s">
        <v>38</v>
      </c>
      <c r="I1328" s="8"/>
      <c r="J1328" s="9">
        <v>1</v>
      </c>
      <c r="K1328" s="9">
        <v>368</v>
      </c>
      <c r="L1328" s="9">
        <v>2020</v>
      </c>
      <c r="M1328" s="8" t="s">
        <v>7168</v>
      </c>
      <c r="N1328" s="8" t="s">
        <v>40</v>
      </c>
      <c r="O1328" s="8" t="s">
        <v>41</v>
      </c>
      <c r="P1328" s="6" t="s">
        <v>95</v>
      </c>
      <c r="Q1328" s="8" t="s">
        <v>76</v>
      </c>
      <c r="R1328" s="10" t="s">
        <v>591</v>
      </c>
      <c r="S1328" s="11" t="s">
        <v>7169</v>
      </c>
      <c r="T1328" s="6"/>
      <c r="U1328" s="28" t="str">
        <f>HYPERLINK("https://media.infra-m.ru/1093/1093285/cover/1093285.jpg", "Обложка")</f>
        <v>Обложка</v>
      </c>
      <c r="V1328" s="28" t="str">
        <f>HYPERLINK("https://znanium.ru/catalog/product/2129965", "Ознакомиться")</f>
        <v>Ознакомиться</v>
      </c>
      <c r="W1328" s="8" t="s">
        <v>933</v>
      </c>
      <c r="X1328" s="6"/>
      <c r="Y1328" s="6"/>
      <c r="Z1328" s="6"/>
      <c r="AA1328" s="6" t="s">
        <v>865</v>
      </c>
    </row>
    <row r="1329" spans="1:27" s="4" customFormat="1" ht="51.95" customHeight="1">
      <c r="A1329" s="5">
        <v>0</v>
      </c>
      <c r="B1329" s="6" t="s">
        <v>7170</v>
      </c>
      <c r="C1329" s="7">
        <v>2112</v>
      </c>
      <c r="D1329" s="8" t="s">
        <v>7171</v>
      </c>
      <c r="E1329" s="8" t="s">
        <v>7172</v>
      </c>
      <c r="F1329" s="8" t="s">
        <v>7167</v>
      </c>
      <c r="G1329" s="6" t="s">
        <v>37</v>
      </c>
      <c r="H1329" s="6" t="s">
        <v>38</v>
      </c>
      <c r="I1329" s="8"/>
      <c r="J1329" s="9">
        <v>1</v>
      </c>
      <c r="K1329" s="9">
        <v>376</v>
      </c>
      <c r="L1329" s="9">
        <v>2024</v>
      </c>
      <c r="M1329" s="8" t="s">
        <v>7173</v>
      </c>
      <c r="N1329" s="8" t="s">
        <v>40</v>
      </c>
      <c r="O1329" s="8" t="s">
        <v>41</v>
      </c>
      <c r="P1329" s="6" t="s">
        <v>95</v>
      </c>
      <c r="Q1329" s="8" t="s">
        <v>76</v>
      </c>
      <c r="R1329" s="10" t="s">
        <v>591</v>
      </c>
      <c r="S1329" s="11" t="s">
        <v>7169</v>
      </c>
      <c r="T1329" s="6"/>
      <c r="U1329" s="28" t="str">
        <f>HYPERLINK("https://media.infra-m.ru/2129/2129965/cover/2129965.jpg", "Обложка")</f>
        <v>Обложка</v>
      </c>
      <c r="V1329" s="28" t="str">
        <f>HYPERLINK("https://znanium.ru/catalog/product/2129965", "Ознакомиться")</f>
        <v>Ознакомиться</v>
      </c>
      <c r="W1329" s="8" t="s">
        <v>933</v>
      </c>
      <c r="X1329" s="6"/>
      <c r="Y1329" s="6"/>
      <c r="Z1329" s="6"/>
      <c r="AA1329" s="6" t="s">
        <v>2479</v>
      </c>
    </row>
    <row r="1330" spans="1:27" s="4" customFormat="1" ht="51.95" customHeight="1">
      <c r="A1330" s="5">
        <v>0</v>
      </c>
      <c r="B1330" s="6" t="s">
        <v>7174</v>
      </c>
      <c r="C1330" s="13">
        <v>989.9</v>
      </c>
      <c r="D1330" s="8" t="s">
        <v>7175</v>
      </c>
      <c r="E1330" s="8" t="s">
        <v>7161</v>
      </c>
      <c r="F1330" s="8" t="s">
        <v>7176</v>
      </c>
      <c r="G1330" s="6" t="s">
        <v>1764</v>
      </c>
      <c r="H1330" s="6" t="s">
        <v>38</v>
      </c>
      <c r="I1330" s="8"/>
      <c r="J1330" s="9">
        <v>10</v>
      </c>
      <c r="K1330" s="9">
        <v>464</v>
      </c>
      <c r="L1330" s="9">
        <v>2015</v>
      </c>
      <c r="M1330" s="8" t="s">
        <v>7177</v>
      </c>
      <c r="N1330" s="8" t="s">
        <v>40</v>
      </c>
      <c r="O1330" s="8" t="s">
        <v>41</v>
      </c>
      <c r="P1330" s="6" t="s">
        <v>95</v>
      </c>
      <c r="Q1330" s="8" t="s">
        <v>76</v>
      </c>
      <c r="R1330" s="10" t="s">
        <v>591</v>
      </c>
      <c r="S1330" s="11" t="s">
        <v>7178</v>
      </c>
      <c r="T1330" s="6"/>
      <c r="U1330" s="28" t="str">
        <f>HYPERLINK("https://media.infra-m.ru/0518/0518397/cover/518397.jpg", "Обложка")</f>
        <v>Обложка</v>
      </c>
      <c r="V1330" s="28" t="str">
        <f>HYPERLINK("https://znanium.ru/catalog/product/2129965", "Ознакомиться")</f>
        <v>Ознакомиться</v>
      </c>
      <c r="W1330" s="8" t="s">
        <v>933</v>
      </c>
      <c r="X1330" s="6"/>
      <c r="Y1330" s="6"/>
      <c r="Z1330" s="6"/>
      <c r="AA1330" s="6" t="s">
        <v>655</v>
      </c>
    </row>
    <row r="1331" spans="1:27" s="4" customFormat="1" ht="42" customHeight="1">
      <c r="A1331" s="5">
        <v>0</v>
      </c>
      <c r="B1331" s="6" t="s">
        <v>7179</v>
      </c>
      <c r="C1331" s="7">
        <v>1908</v>
      </c>
      <c r="D1331" s="8" t="s">
        <v>7180</v>
      </c>
      <c r="E1331" s="8" t="s">
        <v>7161</v>
      </c>
      <c r="F1331" s="8" t="s">
        <v>7181</v>
      </c>
      <c r="G1331" s="6" t="s">
        <v>58</v>
      </c>
      <c r="H1331" s="6" t="s">
        <v>84</v>
      </c>
      <c r="I1331" s="8" t="s">
        <v>93</v>
      </c>
      <c r="J1331" s="9">
        <v>1</v>
      </c>
      <c r="K1331" s="9">
        <v>331</v>
      </c>
      <c r="L1331" s="9">
        <v>2023</v>
      </c>
      <c r="M1331" s="8" t="s">
        <v>7182</v>
      </c>
      <c r="N1331" s="8" t="s">
        <v>40</v>
      </c>
      <c r="O1331" s="8" t="s">
        <v>41</v>
      </c>
      <c r="P1331" s="6" t="s">
        <v>95</v>
      </c>
      <c r="Q1331" s="8" t="s">
        <v>96</v>
      </c>
      <c r="R1331" s="10" t="s">
        <v>7183</v>
      </c>
      <c r="S1331" s="11"/>
      <c r="T1331" s="6"/>
      <c r="U1331" s="28" t="str">
        <f>HYPERLINK("https://media.infra-m.ru/1908/1908962/cover/1908962.jpg", "Обложка")</f>
        <v>Обложка</v>
      </c>
      <c r="V1331" s="28" t="str">
        <f>HYPERLINK("https://znanium.ru/catalog/product/1908962", "Ознакомиться")</f>
        <v>Ознакомиться</v>
      </c>
      <c r="W1331" s="8" t="s">
        <v>2784</v>
      </c>
      <c r="X1331" s="6" t="s">
        <v>99</v>
      </c>
      <c r="Y1331" s="6"/>
      <c r="Z1331" s="6"/>
      <c r="AA1331" s="6" t="s">
        <v>417</v>
      </c>
    </row>
    <row r="1332" spans="1:27" s="4" customFormat="1" ht="51.95" customHeight="1">
      <c r="A1332" s="5">
        <v>0</v>
      </c>
      <c r="B1332" s="6" t="s">
        <v>7184</v>
      </c>
      <c r="C1332" s="7">
        <v>1716</v>
      </c>
      <c r="D1332" s="8" t="s">
        <v>7185</v>
      </c>
      <c r="E1332" s="8" t="s">
        <v>7161</v>
      </c>
      <c r="F1332" s="8" t="s">
        <v>4756</v>
      </c>
      <c r="G1332" s="6" t="s">
        <v>37</v>
      </c>
      <c r="H1332" s="6" t="s">
        <v>84</v>
      </c>
      <c r="I1332" s="8" t="s">
        <v>93</v>
      </c>
      <c r="J1332" s="9">
        <v>1</v>
      </c>
      <c r="K1332" s="9">
        <v>316</v>
      </c>
      <c r="L1332" s="9">
        <v>2023</v>
      </c>
      <c r="M1332" s="8" t="s">
        <v>7186</v>
      </c>
      <c r="N1332" s="8" t="s">
        <v>40</v>
      </c>
      <c r="O1332" s="8" t="s">
        <v>41</v>
      </c>
      <c r="P1332" s="6" t="s">
        <v>75</v>
      </c>
      <c r="Q1332" s="8" t="s">
        <v>96</v>
      </c>
      <c r="R1332" s="10" t="s">
        <v>97</v>
      </c>
      <c r="S1332" s="11" t="s">
        <v>7187</v>
      </c>
      <c r="T1332" s="6"/>
      <c r="U1332" s="28" t="str">
        <f>HYPERLINK("https://media.infra-m.ru/1932/1932343/cover/1932343.jpg", "Обложка")</f>
        <v>Обложка</v>
      </c>
      <c r="V1332" s="28" t="str">
        <f>HYPERLINK("https://znanium.ru/catalog/product/1932343", "Ознакомиться")</f>
        <v>Ознакомиться</v>
      </c>
      <c r="W1332" s="8" t="s">
        <v>170</v>
      </c>
      <c r="X1332" s="6"/>
      <c r="Y1332" s="6"/>
      <c r="Z1332" s="6"/>
      <c r="AA1332" s="6" t="s">
        <v>115</v>
      </c>
    </row>
    <row r="1333" spans="1:27" s="4" customFormat="1" ht="51.95" customHeight="1">
      <c r="A1333" s="5">
        <v>0</v>
      </c>
      <c r="B1333" s="6" t="s">
        <v>7188</v>
      </c>
      <c r="C1333" s="13">
        <v>821.9</v>
      </c>
      <c r="D1333" s="8" t="s">
        <v>7189</v>
      </c>
      <c r="E1333" s="8" t="s">
        <v>7166</v>
      </c>
      <c r="F1333" s="8" t="s">
        <v>7190</v>
      </c>
      <c r="G1333" s="6" t="s">
        <v>58</v>
      </c>
      <c r="H1333" s="6" t="s">
        <v>84</v>
      </c>
      <c r="I1333" s="8" t="s">
        <v>184</v>
      </c>
      <c r="J1333" s="9">
        <v>20</v>
      </c>
      <c r="K1333" s="9">
        <v>312</v>
      </c>
      <c r="L1333" s="9">
        <v>2016</v>
      </c>
      <c r="M1333" s="8" t="s">
        <v>7191</v>
      </c>
      <c r="N1333" s="8" t="s">
        <v>40</v>
      </c>
      <c r="O1333" s="8" t="s">
        <v>41</v>
      </c>
      <c r="P1333" s="6" t="s">
        <v>75</v>
      </c>
      <c r="Q1333" s="8" t="s">
        <v>76</v>
      </c>
      <c r="R1333" s="10" t="s">
        <v>7192</v>
      </c>
      <c r="S1333" s="11" t="s">
        <v>7193</v>
      </c>
      <c r="T1333" s="6"/>
      <c r="U1333" s="28" t="str">
        <f>HYPERLINK("https://media.infra-m.ru/0608/0608769/cover/608769.jpg", "Обложка")</f>
        <v>Обложка</v>
      </c>
      <c r="V1333" s="28" t="str">
        <f>HYPERLINK("https://znanium.ru/catalog/product/608769", "Ознакомиться")</f>
        <v>Ознакомиться</v>
      </c>
      <c r="W1333" s="8"/>
      <c r="X1333" s="6"/>
      <c r="Y1333" s="6"/>
      <c r="Z1333" s="6"/>
      <c r="AA1333" s="6" t="s">
        <v>2490</v>
      </c>
    </row>
    <row r="1334" spans="1:27" s="4" customFormat="1" ht="42" customHeight="1">
      <c r="A1334" s="5">
        <v>0</v>
      </c>
      <c r="B1334" s="6" t="s">
        <v>7194</v>
      </c>
      <c r="C1334" s="7">
        <v>2616</v>
      </c>
      <c r="D1334" s="8" t="s">
        <v>7195</v>
      </c>
      <c r="E1334" s="8" t="s">
        <v>7196</v>
      </c>
      <c r="F1334" s="8" t="s">
        <v>7197</v>
      </c>
      <c r="G1334" s="6" t="s">
        <v>37</v>
      </c>
      <c r="H1334" s="6" t="s">
        <v>38</v>
      </c>
      <c r="I1334" s="8"/>
      <c r="J1334" s="9">
        <v>1</v>
      </c>
      <c r="K1334" s="9">
        <v>480</v>
      </c>
      <c r="L1334" s="9">
        <v>2023</v>
      </c>
      <c r="M1334" s="8" t="s">
        <v>7198</v>
      </c>
      <c r="N1334" s="8" t="s">
        <v>40</v>
      </c>
      <c r="O1334" s="8" t="s">
        <v>41</v>
      </c>
      <c r="P1334" s="6" t="s">
        <v>42</v>
      </c>
      <c r="Q1334" s="8" t="s">
        <v>43</v>
      </c>
      <c r="R1334" s="10" t="s">
        <v>314</v>
      </c>
      <c r="S1334" s="11"/>
      <c r="T1334" s="6"/>
      <c r="U1334" s="28" t="str">
        <f>HYPERLINK("https://media.infra-m.ru/1993/1993592/cover/1993592.jpg", "Обложка")</f>
        <v>Обложка</v>
      </c>
      <c r="V1334" s="28" t="str">
        <f>HYPERLINK("https://znanium.ru/catalog/product/1993592", "Ознакомиться")</f>
        <v>Ознакомиться</v>
      </c>
      <c r="W1334" s="8" t="s">
        <v>933</v>
      </c>
      <c r="X1334" s="6"/>
      <c r="Y1334" s="6"/>
      <c r="Z1334" s="6"/>
      <c r="AA1334" s="6" t="s">
        <v>46</v>
      </c>
    </row>
    <row r="1335" spans="1:27" s="4" customFormat="1" ht="51.95" customHeight="1">
      <c r="A1335" s="5">
        <v>0</v>
      </c>
      <c r="B1335" s="6" t="s">
        <v>7199</v>
      </c>
      <c r="C1335" s="13">
        <v>936</v>
      </c>
      <c r="D1335" s="8" t="s">
        <v>7200</v>
      </c>
      <c r="E1335" s="8" t="s">
        <v>7201</v>
      </c>
      <c r="F1335" s="8" t="s">
        <v>1682</v>
      </c>
      <c r="G1335" s="6" t="s">
        <v>51</v>
      </c>
      <c r="H1335" s="6" t="s">
        <v>84</v>
      </c>
      <c r="I1335" s="8" t="s">
        <v>1683</v>
      </c>
      <c r="J1335" s="9">
        <v>1</v>
      </c>
      <c r="K1335" s="9">
        <v>195</v>
      </c>
      <c r="L1335" s="9">
        <v>2022</v>
      </c>
      <c r="M1335" s="8" t="s">
        <v>7202</v>
      </c>
      <c r="N1335" s="8" t="s">
        <v>40</v>
      </c>
      <c r="O1335" s="8" t="s">
        <v>41</v>
      </c>
      <c r="P1335" s="6" t="s">
        <v>841</v>
      </c>
      <c r="Q1335" s="8" t="s">
        <v>43</v>
      </c>
      <c r="R1335" s="10" t="s">
        <v>7203</v>
      </c>
      <c r="S1335" s="11"/>
      <c r="T1335" s="6" t="s">
        <v>378</v>
      </c>
      <c r="U1335" s="28" t="str">
        <f>HYPERLINK("https://media.infra-m.ru/1850/1850658/cover/1850658.jpg", "Обложка")</f>
        <v>Обложка</v>
      </c>
      <c r="V1335" s="28" t="str">
        <f>HYPERLINK("https://znanium.ru/catalog/product/1850658", "Ознакомиться")</f>
        <v>Ознакомиться</v>
      </c>
      <c r="W1335" s="8" t="s">
        <v>1685</v>
      </c>
      <c r="X1335" s="6"/>
      <c r="Y1335" s="6"/>
      <c r="Z1335" s="6"/>
      <c r="AA1335" s="6" t="s">
        <v>143</v>
      </c>
    </row>
    <row r="1336" spans="1:27" s="4" customFormat="1" ht="51.95" customHeight="1">
      <c r="A1336" s="5">
        <v>0</v>
      </c>
      <c r="B1336" s="6" t="s">
        <v>7204</v>
      </c>
      <c r="C1336" s="13">
        <v>828</v>
      </c>
      <c r="D1336" s="8" t="s">
        <v>7205</v>
      </c>
      <c r="E1336" s="8" t="s">
        <v>7206</v>
      </c>
      <c r="F1336" s="8" t="s">
        <v>1682</v>
      </c>
      <c r="G1336" s="6" t="s">
        <v>51</v>
      </c>
      <c r="H1336" s="6" t="s">
        <v>84</v>
      </c>
      <c r="I1336" s="8" t="s">
        <v>1683</v>
      </c>
      <c r="J1336" s="9">
        <v>1</v>
      </c>
      <c r="K1336" s="9">
        <v>190</v>
      </c>
      <c r="L1336" s="9">
        <v>2021</v>
      </c>
      <c r="M1336" s="8" t="s">
        <v>7207</v>
      </c>
      <c r="N1336" s="8" t="s">
        <v>40</v>
      </c>
      <c r="O1336" s="8" t="s">
        <v>41</v>
      </c>
      <c r="P1336" s="6" t="s">
        <v>841</v>
      </c>
      <c r="Q1336" s="8" t="s">
        <v>43</v>
      </c>
      <c r="R1336" s="10" t="s">
        <v>7203</v>
      </c>
      <c r="S1336" s="11"/>
      <c r="T1336" s="6" t="s">
        <v>378</v>
      </c>
      <c r="U1336" s="28" t="str">
        <f>HYPERLINK("https://media.infra-m.ru/1362/1362601/cover/1362601.jpg", "Обложка")</f>
        <v>Обложка</v>
      </c>
      <c r="V1336" s="28" t="str">
        <f>HYPERLINK("https://znanium.ru/catalog/product/1850658", "Ознакомиться")</f>
        <v>Ознакомиться</v>
      </c>
      <c r="W1336" s="8" t="s">
        <v>1685</v>
      </c>
      <c r="X1336" s="6"/>
      <c r="Y1336" s="6"/>
      <c r="Z1336" s="6"/>
      <c r="AA1336" s="6" t="s">
        <v>148</v>
      </c>
    </row>
    <row r="1337" spans="1:27" s="4" customFormat="1" ht="42" customHeight="1">
      <c r="A1337" s="5">
        <v>0</v>
      </c>
      <c r="B1337" s="6" t="s">
        <v>7208</v>
      </c>
      <c r="C1337" s="7">
        <v>1056</v>
      </c>
      <c r="D1337" s="8" t="s">
        <v>7209</v>
      </c>
      <c r="E1337" s="8" t="s">
        <v>7210</v>
      </c>
      <c r="F1337" s="8" t="s">
        <v>2353</v>
      </c>
      <c r="G1337" s="6" t="s">
        <v>51</v>
      </c>
      <c r="H1337" s="6" t="s">
        <v>84</v>
      </c>
      <c r="I1337" s="8" t="s">
        <v>250</v>
      </c>
      <c r="J1337" s="9">
        <v>1</v>
      </c>
      <c r="K1337" s="9">
        <v>250</v>
      </c>
      <c r="L1337" s="9">
        <v>2020</v>
      </c>
      <c r="M1337" s="8" t="s">
        <v>7211</v>
      </c>
      <c r="N1337" s="8" t="s">
        <v>40</v>
      </c>
      <c r="O1337" s="8" t="s">
        <v>41</v>
      </c>
      <c r="P1337" s="6" t="s">
        <v>42</v>
      </c>
      <c r="Q1337" s="8" t="s">
        <v>43</v>
      </c>
      <c r="R1337" s="10" t="s">
        <v>314</v>
      </c>
      <c r="S1337" s="11"/>
      <c r="T1337" s="6"/>
      <c r="U1337" s="28" t="str">
        <f>HYPERLINK("https://media.infra-m.ru/1078/1078364/cover/1078364.jpg", "Обложка")</f>
        <v>Обложка</v>
      </c>
      <c r="V1337" s="28" t="str">
        <f>HYPERLINK("https://znanium.ru/catalog/product/1078364", "Ознакомиться")</f>
        <v>Ознакомиться</v>
      </c>
      <c r="W1337" s="8" t="s">
        <v>743</v>
      </c>
      <c r="X1337" s="6"/>
      <c r="Y1337" s="6"/>
      <c r="Z1337" s="6"/>
      <c r="AA1337" s="6" t="s">
        <v>293</v>
      </c>
    </row>
    <row r="1338" spans="1:27" s="4" customFormat="1" ht="51.95" customHeight="1">
      <c r="A1338" s="5">
        <v>0</v>
      </c>
      <c r="B1338" s="6" t="s">
        <v>7212</v>
      </c>
      <c r="C1338" s="13">
        <v>984</v>
      </c>
      <c r="D1338" s="8" t="s">
        <v>7213</v>
      </c>
      <c r="E1338" s="8" t="s">
        <v>7214</v>
      </c>
      <c r="F1338" s="8" t="s">
        <v>7215</v>
      </c>
      <c r="G1338" s="6" t="s">
        <v>51</v>
      </c>
      <c r="H1338" s="6" t="s">
        <v>84</v>
      </c>
      <c r="I1338" s="8" t="s">
        <v>250</v>
      </c>
      <c r="J1338" s="9">
        <v>1</v>
      </c>
      <c r="K1338" s="9">
        <v>164</v>
      </c>
      <c r="L1338" s="9">
        <v>2024</v>
      </c>
      <c r="M1338" s="8" t="s">
        <v>7216</v>
      </c>
      <c r="N1338" s="8" t="s">
        <v>40</v>
      </c>
      <c r="O1338" s="8" t="s">
        <v>41</v>
      </c>
      <c r="P1338" s="6" t="s">
        <v>42</v>
      </c>
      <c r="Q1338" s="8" t="s">
        <v>43</v>
      </c>
      <c r="R1338" s="10" t="s">
        <v>7217</v>
      </c>
      <c r="S1338" s="11"/>
      <c r="T1338" s="6"/>
      <c r="U1338" s="28" t="str">
        <f>HYPERLINK("https://media.infra-m.ru/2141/2141391/cover/2141391.jpg", "Обложка")</f>
        <v>Обложка</v>
      </c>
      <c r="V1338" s="28" t="str">
        <f>HYPERLINK("https://znanium.ru/catalog/product/2141391", "Ознакомиться")</f>
        <v>Ознакомиться</v>
      </c>
      <c r="W1338" s="8" t="s">
        <v>7218</v>
      </c>
      <c r="X1338" s="6"/>
      <c r="Y1338" s="6"/>
      <c r="Z1338" s="6"/>
      <c r="AA1338" s="6" t="s">
        <v>417</v>
      </c>
    </row>
    <row r="1339" spans="1:27" s="4" customFormat="1" ht="51.95" customHeight="1">
      <c r="A1339" s="5">
        <v>0</v>
      </c>
      <c r="B1339" s="6" t="s">
        <v>7219</v>
      </c>
      <c r="C1339" s="13">
        <v>605.9</v>
      </c>
      <c r="D1339" s="8" t="s">
        <v>7220</v>
      </c>
      <c r="E1339" s="8" t="s">
        <v>7221</v>
      </c>
      <c r="F1339" s="8" t="s">
        <v>7222</v>
      </c>
      <c r="G1339" s="6" t="s">
        <v>51</v>
      </c>
      <c r="H1339" s="6" t="s">
        <v>84</v>
      </c>
      <c r="I1339" s="8" t="s">
        <v>250</v>
      </c>
      <c r="J1339" s="9">
        <v>1</v>
      </c>
      <c r="K1339" s="9">
        <v>144</v>
      </c>
      <c r="L1339" s="9">
        <v>2020</v>
      </c>
      <c r="M1339" s="8" t="s">
        <v>7223</v>
      </c>
      <c r="N1339" s="8" t="s">
        <v>40</v>
      </c>
      <c r="O1339" s="8" t="s">
        <v>41</v>
      </c>
      <c r="P1339" s="6" t="s">
        <v>42</v>
      </c>
      <c r="Q1339" s="8" t="s">
        <v>43</v>
      </c>
      <c r="R1339" s="10" t="s">
        <v>5321</v>
      </c>
      <c r="S1339" s="11"/>
      <c r="T1339" s="6"/>
      <c r="U1339" s="28" t="str">
        <f>HYPERLINK("https://media.infra-m.ru/1081/1081369/cover/1081369.jpg", "Обложка")</f>
        <v>Обложка</v>
      </c>
      <c r="V1339" s="28" t="str">
        <f>HYPERLINK("https://znanium.ru/catalog/product/939274", "Ознакомиться")</f>
        <v>Ознакомиться</v>
      </c>
      <c r="W1339" s="8" t="s">
        <v>6072</v>
      </c>
      <c r="X1339" s="6"/>
      <c r="Y1339" s="6"/>
      <c r="Z1339" s="6"/>
      <c r="AA1339" s="6" t="s">
        <v>431</v>
      </c>
    </row>
    <row r="1340" spans="1:27" s="4" customFormat="1" ht="42" customHeight="1">
      <c r="A1340" s="5">
        <v>0</v>
      </c>
      <c r="B1340" s="6" t="s">
        <v>7224</v>
      </c>
      <c r="C1340" s="7">
        <v>2393.9</v>
      </c>
      <c r="D1340" s="8" t="s">
        <v>7225</v>
      </c>
      <c r="E1340" s="8" t="s">
        <v>7226</v>
      </c>
      <c r="F1340" s="8" t="s">
        <v>7227</v>
      </c>
      <c r="G1340" s="6" t="s">
        <v>58</v>
      </c>
      <c r="H1340" s="6" t="s">
        <v>650</v>
      </c>
      <c r="I1340" s="8" t="s">
        <v>1560</v>
      </c>
      <c r="J1340" s="9">
        <v>1</v>
      </c>
      <c r="K1340" s="9">
        <v>658</v>
      </c>
      <c r="L1340" s="9">
        <v>2023</v>
      </c>
      <c r="M1340" s="8" t="s">
        <v>7228</v>
      </c>
      <c r="N1340" s="8" t="s">
        <v>40</v>
      </c>
      <c r="O1340" s="8" t="s">
        <v>41</v>
      </c>
      <c r="P1340" s="6" t="s">
        <v>42</v>
      </c>
      <c r="Q1340" s="8" t="s">
        <v>43</v>
      </c>
      <c r="R1340" s="10" t="s">
        <v>308</v>
      </c>
      <c r="S1340" s="11"/>
      <c r="T1340" s="6"/>
      <c r="U1340" s="28" t="str">
        <f>HYPERLINK("https://media.infra-m.ru/1913/1913220/cover/1913220.jpg", "Обложка")</f>
        <v>Обложка</v>
      </c>
      <c r="V1340" s="12"/>
      <c r="W1340" s="8" t="s">
        <v>1399</v>
      </c>
      <c r="X1340" s="6"/>
      <c r="Y1340" s="6"/>
      <c r="Z1340" s="6"/>
      <c r="AA1340" s="6" t="s">
        <v>2206</v>
      </c>
    </row>
    <row r="1341" spans="1:27" s="4" customFormat="1" ht="42" customHeight="1">
      <c r="A1341" s="5">
        <v>0</v>
      </c>
      <c r="B1341" s="6" t="s">
        <v>7229</v>
      </c>
      <c r="C1341" s="7">
        <v>1944</v>
      </c>
      <c r="D1341" s="8" t="s">
        <v>7230</v>
      </c>
      <c r="E1341" s="8" t="s">
        <v>7231</v>
      </c>
      <c r="F1341" s="8" t="s">
        <v>7232</v>
      </c>
      <c r="G1341" s="6" t="s">
        <v>37</v>
      </c>
      <c r="H1341" s="6" t="s">
        <v>84</v>
      </c>
      <c r="I1341" s="8" t="s">
        <v>250</v>
      </c>
      <c r="J1341" s="9">
        <v>1</v>
      </c>
      <c r="K1341" s="9">
        <v>351</v>
      </c>
      <c r="L1341" s="9">
        <v>2023</v>
      </c>
      <c r="M1341" s="8" t="s">
        <v>7233</v>
      </c>
      <c r="N1341" s="8" t="s">
        <v>40</v>
      </c>
      <c r="O1341" s="8" t="s">
        <v>41</v>
      </c>
      <c r="P1341" s="6" t="s">
        <v>42</v>
      </c>
      <c r="Q1341" s="8" t="s">
        <v>43</v>
      </c>
      <c r="R1341" s="10" t="s">
        <v>3725</v>
      </c>
      <c r="S1341" s="11"/>
      <c r="T1341" s="6"/>
      <c r="U1341" s="28" t="str">
        <f>HYPERLINK("https://media.infra-m.ru/2127/2127013/cover/2127013.jpg", "Обложка")</f>
        <v>Обложка</v>
      </c>
      <c r="V1341" s="28" t="str">
        <f>HYPERLINK("https://znanium.ru/catalog/product/2127013", "Ознакомиться")</f>
        <v>Ознакомиться</v>
      </c>
      <c r="W1341" s="8" t="s">
        <v>3273</v>
      </c>
      <c r="X1341" s="6"/>
      <c r="Y1341" s="6"/>
      <c r="Z1341" s="6"/>
      <c r="AA1341" s="6" t="s">
        <v>143</v>
      </c>
    </row>
    <row r="1342" spans="1:27" s="4" customFormat="1" ht="42" customHeight="1">
      <c r="A1342" s="5">
        <v>0</v>
      </c>
      <c r="B1342" s="6" t="s">
        <v>7234</v>
      </c>
      <c r="C1342" s="7">
        <v>1068</v>
      </c>
      <c r="D1342" s="8" t="s">
        <v>7235</v>
      </c>
      <c r="E1342" s="8" t="s">
        <v>7236</v>
      </c>
      <c r="F1342" s="8" t="s">
        <v>7232</v>
      </c>
      <c r="G1342" s="6" t="s">
        <v>51</v>
      </c>
      <c r="H1342" s="6" t="s">
        <v>84</v>
      </c>
      <c r="I1342" s="8" t="s">
        <v>250</v>
      </c>
      <c r="J1342" s="9">
        <v>1</v>
      </c>
      <c r="K1342" s="9">
        <v>227</v>
      </c>
      <c r="L1342" s="9">
        <v>2022</v>
      </c>
      <c r="M1342" s="8" t="s">
        <v>7237</v>
      </c>
      <c r="N1342" s="8" t="s">
        <v>40</v>
      </c>
      <c r="O1342" s="8" t="s">
        <v>41</v>
      </c>
      <c r="P1342" s="6" t="s">
        <v>42</v>
      </c>
      <c r="Q1342" s="8" t="s">
        <v>43</v>
      </c>
      <c r="R1342" s="10" t="s">
        <v>3725</v>
      </c>
      <c r="S1342" s="11"/>
      <c r="T1342" s="6"/>
      <c r="U1342" s="28" t="str">
        <f>HYPERLINK("https://media.infra-m.ru/1816/1816360/cover/1816360.jpg", "Обложка")</f>
        <v>Обложка</v>
      </c>
      <c r="V1342" s="28" t="str">
        <f>HYPERLINK("https://znanium.ru/catalog/product/2127013", "Ознакомиться")</f>
        <v>Ознакомиться</v>
      </c>
      <c r="W1342" s="8" t="s">
        <v>3273</v>
      </c>
      <c r="X1342" s="6"/>
      <c r="Y1342" s="6"/>
      <c r="Z1342" s="6"/>
      <c r="AA1342" s="6" t="s">
        <v>79</v>
      </c>
    </row>
    <row r="1343" spans="1:27" s="4" customFormat="1" ht="51.95" customHeight="1">
      <c r="A1343" s="5">
        <v>0</v>
      </c>
      <c r="B1343" s="6" t="s">
        <v>7238</v>
      </c>
      <c r="C1343" s="7">
        <v>1559.9</v>
      </c>
      <c r="D1343" s="8" t="s">
        <v>7239</v>
      </c>
      <c r="E1343" s="8" t="s">
        <v>7240</v>
      </c>
      <c r="F1343" s="8" t="s">
        <v>7241</v>
      </c>
      <c r="G1343" s="6" t="s">
        <v>58</v>
      </c>
      <c r="H1343" s="6" t="s">
        <v>52</v>
      </c>
      <c r="I1343" s="8" t="s">
        <v>184</v>
      </c>
      <c r="J1343" s="9">
        <v>6</v>
      </c>
      <c r="K1343" s="9">
        <v>752</v>
      </c>
      <c r="L1343" s="9">
        <v>2017</v>
      </c>
      <c r="M1343" s="8" t="s">
        <v>7242</v>
      </c>
      <c r="N1343" s="8" t="s">
        <v>40</v>
      </c>
      <c r="O1343" s="8" t="s">
        <v>41</v>
      </c>
      <c r="P1343" s="6" t="s">
        <v>95</v>
      </c>
      <c r="Q1343" s="8" t="s">
        <v>76</v>
      </c>
      <c r="R1343" s="10" t="s">
        <v>3329</v>
      </c>
      <c r="S1343" s="11"/>
      <c r="T1343" s="6" t="s">
        <v>378</v>
      </c>
      <c r="U1343" s="28" t="str">
        <f>HYPERLINK("https://media.infra-m.ru/0612/0612279/cover/612279.jpg", "Обложка")</f>
        <v>Обложка</v>
      </c>
      <c r="V1343" s="28" t="str">
        <f>HYPERLINK("https://znanium.ru/catalog/product/1941768", "Ознакомиться")</f>
        <v>Ознакомиться</v>
      </c>
      <c r="W1343" s="8" t="s">
        <v>475</v>
      </c>
      <c r="X1343" s="6"/>
      <c r="Y1343" s="6"/>
      <c r="Z1343" s="6"/>
      <c r="AA1343" s="6" t="s">
        <v>1160</v>
      </c>
    </row>
    <row r="1344" spans="1:27" s="4" customFormat="1" ht="51.95" customHeight="1">
      <c r="A1344" s="5">
        <v>0</v>
      </c>
      <c r="B1344" s="6" t="s">
        <v>7243</v>
      </c>
      <c r="C1344" s="7">
        <v>3461.9</v>
      </c>
      <c r="D1344" s="8" t="s">
        <v>7244</v>
      </c>
      <c r="E1344" s="8" t="s">
        <v>7245</v>
      </c>
      <c r="F1344" s="8" t="s">
        <v>7246</v>
      </c>
      <c r="G1344" s="6" t="s">
        <v>58</v>
      </c>
      <c r="H1344" s="6" t="s">
        <v>52</v>
      </c>
      <c r="I1344" s="8" t="s">
        <v>2906</v>
      </c>
      <c r="J1344" s="9">
        <v>1</v>
      </c>
      <c r="K1344" s="9">
        <v>780</v>
      </c>
      <c r="L1344" s="9">
        <v>2023</v>
      </c>
      <c r="M1344" s="8" t="s">
        <v>7247</v>
      </c>
      <c r="N1344" s="8" t="s">
        <v>40</v>
      </c>
      <c r="O1344" s="8" t="s">
        <v>41</v>
      </c>
      <c r="P1344" s="6" t="s">
        <v>95</v>
      </c>
      <c r="Q1344" s="8" t="s">
        <v>515</v>
      </c>
      <c r="R1344" s="10" t="s">
        <v>3329</v>
      </c>
      <c r="S1344" s="11" t="s">
        <v>3053</v>
      </c>
      <c r="T1344" s="6"/>
      <c r="U1344" s="28" t="str">
        <f>HYPERLINK("https://media.infra-m.ru/1911/1911121/cover/1911121.jpg", "Обложка")</f>
        <v>Обложка</v>
      </c>
      <c r="V1344" s="28" t="str">
        <f>HYPERLINK("https://znanium.ru/catalog/product/1941768", "Ознакомиться")</f>
        <v>Ознакомиться</v>
      </c>
      <c r="W1344" s="8" t="s">
        <v>475</v>
      </c>
      <c r="X1344" s="6"/>
      <c r="Y1344" s="6"/>
      <c r="Z1344" s="6"/>
      <c r="AA1344" s="6" t="s">
        <v>6147</v>
      </c>
    </row>
    <row r="1345" spans="1:27" s="4" customFormat="1" ht="51.95" customHeight="1">
      <c r="A1345" s="5">
        <v>0</v>
      </c>
      <c r="B1345" s="6" t="s">
        <v>7248</v>
      </c>
      <c r="C1345" s="7">
        <v>3576</v>
      </c>
      <c r="D1345" s="8" t="s">
        <v>7249</v>
      </c>
      <c r="E1345" s="8" t="s">
        <v>7250</v>
      </c>
      <c r="F1345" s="8" t="s">
        <v>7246</v>
      </c>
      <c r="G1345" s="6" t="s">
        <v>58</v>
      </c>
      <c r="H1345" s="6" t="s">
        <v>52</v>
      </c>
      <c r="I1345" s="8" t="s">
        <v>2209</v>
      </c>
      <c r="J1345" s="9">
        <v>1</v>
      </c>
      <c r="K1345" s="9">
        <v>700</v>
      </c>
      <c r="L1345" s="9">
        <v>2023</v>
      </c>
      <c r="M1345" s="8" t="s">
        <v>7251</v>
      </c>
      <c r="N1345" s="8" t="s">
        <v>40</v>
      </c>
      <c r="O1345" s="8" t="s">
        <v>41</v>
      </c>
      <c r="P1345" s="6" t="s">
        <v>95</v>
      </c>
      <c r="Q1345" s="8" t="s">
        <v>96</v>
      </c>
      <c r="R1345" s="10" t="s">
        <v>97</v>
      </c>
      <c r="S1345" s="11" t="s">
        <v>3053</v>
      </c>
      <c r="T1345" s="6"/>
      <c r="U1345" s="28" t="str">
        <f>HYPERLINK("https://media.infra-m.ru/1844/1844603/cover/1844603.jpg", "Обложка")</f>
        <v>Обложка</v>
      </c>
      <c r="V1345" s="12"/>
      <c r="W1345" s="8" t="s">
        <v>475</v>
      </c>
      <c r="X1345" s="6"/>
      <c r="Y1345" s="6"/>
      <c r="Z1345" s="6" t="s">
        <v>1153</v>
      </c>
      <c r="AA1345" s="6" t="s">
        <v>417</v>
      </c>
    </row>
    <row r="1346" spans="1:27" s="4" customFormat="1" ht="51.95" customHeight="1">
      <c r="A1346" s="5">
        <v>0</v>
      </c>
      <c r="B1346" s="6" t="s">
        <v>7252</v>
      </c>
      <c r="C1346" s="13">
        <v>881.9</v>
      </c>
      <c r="D1346" s="8" t="s">
        <v>7253</v>
      </c>
      <c r="E1346" s="8" t="s">
        <v>7254</v>
      </c>
      <c r="F1346" s="8" t="s">
        <v>7255</v>
      </c>
      <c r="G1346" s="6" t="s">
        <v>58</v>
      </c>
      <c r="H1346" s="6" t="s">
        <v>84</v>
      </c>
      <c r="I1346" s="8" t="s">
        <v>184</v>
      </c>
      <c r="J1346" s="9">
        <v>20</v>
      </c>
      <c r="K1346" s="9">
        <v>336</v>
      </c>
      <c r="L1346" s="9">
        <v>2016</v>
      </c>
      <c r="M1346" s="8" t="s">
        <v>7256</v>
      </c>
      <c r="N1346" s="8" t="s">
        <v>40</v>
      </c>
      <c r="O1346" s="8" t="s">
        <v>41</v>
      </c>
      <c r="P1346" s="6" t="s">
        <v>95</v>
      </c>
      <c r="Q1346" s="8" t="s">
        <v>76</v>
      </c>
      <c r="R1346" s="10" t="s">
        <v>5321</v>
      </c>
      <c r="S1346" s="11" t="s">
        <v>7257</v>
      </c>
      <c r="T1346" s="6"/>
      <c r="U1346" s="28" t="str">
        <f>HYPERLINK("https://media.infra-m.ru/0553/0553994/cover/553994.jpg", "Обложка")</f>
        <v>Обложка</v>
      </c>
      <c r="V1346" s="28" t="str">
        <f>HYPERLINK("https://znanium.ru/catalog/product/1911123", "Ознакомиться")</f>
        <v>Ознакомиться</v>
      </c>
      <c r="W1346" s="8" t="s">
        <v>114</v>
      </c>
      <c r="X1346" s="6"/>
      <c r="Y1346" s="6"/>
      <c r="Z1346" s="6"/>
      <c r="AA1346" s="6" t="s">
        <v>337</v>
      </c>
    </row>
    <row r="1347" spans="1:27" s="4" customFormat="1" ht="51.95" customHeight="1">
      <c r="A1347" s="5">
        <v>0</v>
      </c>
      <c r="B1347" s="6" t="s">
        <v>7258</v>
      </c>
      <c r="C1347" s="7">
        <v>1996.8</v>
      </c>
      <c r="D1347" s="8" t="s">
        <v>7259</v>
      </c>
      <c r="E1347" s="8" t="s">
        <v>7260</v>
      </c>
      <c r="F1347" s="8" t="s">
        <v>7255</v>
      </c>
      <c r="G1347" s="6" t="s">
        <v>37</v>
      </c>
      <c r="H1347" s="6" t="s">
        <v>84</v>
      </c>
      <c r="I1347" s="8" t="s">
        <v>184</v>
      </c>
      <c r="J1347" s="9">
        <v>1</v>
      </c>
      <c r="K1347" s="9">
        <v>354</v>
      </c>
      <c r="L1347" s="9">
        <v>2024</v>
      </c>
      <c r="M1347" s="8" t="s">
        <v>7261</v>
      </c>
      <c r="N1347" s="8" t="s">
        <v>40</v>
      </c>
      <c r="O1347" s="8" t="s">
        <v>41</v>
      </c>
      <c r="P1347" s="6" t="s">
        <v>95</v>
      </c>
      <c r="Q1347" s="8" t="s">
        <v>76</v>
      </c>
      <c r="R1347" s="10" t="s">
        <v>5321</v>
      </c>
      <c r="S1347" s="11" t="s">
        <v>7262</v>
      </c>
      <c r="T1347" s="6"/>
      <c r="U1347" s="28" t="str">
        <f>HYPERLINK("https://media.infra-m.ru/2139/2139290/cover/2139290.jpg", "Обложка")</f>
        <v>Обложка</v>
      </c>
      <c r="V1347" s="28" t="str">
        <f>HYPERLINK("https://znanium.ru/catalog/product/1911123", "Ознакомиться")</f>
        <v>Ознакомиться</v>
      </c>
      <c r="W1347" s="8" t="s">
        <v>114</v>
      </c>
      <c r="X1347" s="6"/>
      <c r="Y1347" s="6"/>
      <c r="Z1347" s="6"/>
      <c r="AA1347" s="6" t="s">
        <v>208</v>
      </c>
    </row>
    <row r="1348" spans="1:27" s="4" customFormat="1" ht="51.95" customHeight="1">
      <c r="A1348" s="5">
        <v>0</v>
      </c>
      <c r="B1348" s="6" t="s">
        <v>7263</v>
      </c>
      <c r="C1348" s="7">
        <v>2308.8000000000002</v>
      </c>
      <c r="D1348" s="8" t="s">
        <v>7264</v>
      </c>
      <c r="E1348" s="8" t="s">
        <v>7265</v>
      </c>
      <c r="F1348" s="8" t="s">
        <v>7266</v>
      </c>
      <c r="G1348" s="6" t="s">
        <v>58</v>
      </c>
      <c r="H1348" s="6" t="s">
        <v>84</v>
      </c>
      <c r="I1348" s="8" t="s">
        <v>184</v>
      </c>
      <c r="J1348" s="9">
        <v>1</v>
      </c>
      <c r="K1348" s="9">
        <v>407</v>
      </c>
      <c r="L1348" s="9">
        <v>2024</v>
      </c>
      <c r="M1348" s="8" t="s">
        <v>7267</v>
      </c>
      <c r="N1348" s="8" t="s">
        <v>40</v>
      </c>
      <c r="O1348" s="8" t="s">
        <v>41</v>
      </c>
      <c r="P1348" s="6" t="s">
        <v>95</v>
      </c>
      <c r="Q1348" s="8" t="s">
        <v>76</v>
      </c>
      <c r="R1348" s="10" t="s">
        <v>113</v>
      </c>
      <c r="S1348" s="11" t="s">
        <v>7268</v>
      </c>
      <c r="T1348" s="6"/>
      <c r="U1348" s="28" t="str">
        <f>HYPERLINK("https://media.infra-m.ru/2139/2139289/cover/2139289.jpg", "Обложка")</f>
        <v>Обложка</v>
      </c>
      <c r="V1348" s="28" t="str">
        <f>HYPERLINK("https://znanium.ru/catalog/product/1969539", "Ознакомиться")</f>
        <v>Ознакомиться</v>
      </c>
      <c r="W1348" s="8" t="s">
        <v>114</v>
      </c>
      <c r="X1348" s="6"/>
      <c r="Y1348" s="6"/>
      <c r="Z1348" s="6"/>
      <c r="AA1348" s="6" t="s">
        <v>208</v>
      </c>
    </row>
    <row r="1349" spans="1:27" s="4" customFormat="1" ht="51.95" customHeight="1">
      <c r="A1349" s="5">
        <v>0</v>
      </c>
      <c r="B1349" s="6" t="s">
        <v>7269</v>
      </c>
      <c r="C1349" s="7">
        <v>3624</v>
      </c>
      <c r="D1349" s="8" t="s">
        <v>7270</v>
      </c>
      <c r="E1349" s="8" t="s">
        <v>7271</v>
      </c>
      <c r="F1349" s="8" t="s">
        <v>7272</v>
      </c>
      <c r="G1349" s="6" t="s">
        <v>37</v>
      </c>
      <c r="H1349" s="6" t="s">
        <v>84</v>
      </c>
      <c r="I1349" s="8" t="s">
        <v>120</v>
      </c>
      <c r="J1349" s="9">
        <v>1</v>
      </c>
      <c r="K1349" s="9">
        <v>642</v>
      </c>
      <c r="L1349" s="9">
        <v>2024</v>
      </c>
      <c r="M1349" s="8" t="s">
        <v>7273</v>
      </c>
      <c r="N1349" s="8" t="s">
        <v>40</v>
      </c>
      <c r="O1349" s="8" t="s">
        <v>41</v>
      </c>
      <c r="P1349" s="6" t="s">
        <v>95</v>
      </c>
      <c r="Q1349" s="8" t="s">
        <v>515</v>
      </c>
      <c r="R1349" s="10" t="s">
        <v>77</v>
      </c>
      <c r="S1349" s="11"/>
      <c r="T1349" s="6" t="s">
        <v>378</v>
      </c>
      <c r="U1349" s="28" t="str">
        <f>HYPERLINK("https://media.infra-m.ru/2092/2092336/cover/2092336.jpg", "Обложка")</f>
        <v>Обложка</v>
      </c>
      <c r="V1349" s="28" t="str">
        <f>HYPERLINK("https://znanium.ru/catalog/product/2092336", "Ознакомиться")</f>
        <v>Ознакомиться</v>
      </c>
      <c r="W1349" s="8"/>
      <c r="X1349" s="6" t="s">
        <v>1412</v>
      </c>
      <c r="Y1349" s="6"/>
      <c r="Z1349" s="6"/>
      <c r="AA1349" s="6" t="s">
        <v>100</v>
      </c>
    </row>
    <row r="1350" spans="1:27" s="4" customFormat="1" ht="51.95" customHeight="1">
      <c r="A1350" s="5">
        <v>0</v>
      </c>
      <c r="B1350" s="6" t="s">
        <v>7274</v>
      </c>
      <c r="C1350" s="7">
        <v>2873.9</v>
      </c>
      <c r="D1350" s="8" t="s">
        <v>7275</v>
      </c>
      <c r="E1350" s="8" t="s">
        <v>7276</v>
      </c>
      <c r="F1350" s="8" t="s">
        <v>7277</v>
      </c>
      <c r="G1350" s="6" t="s">
        <v>37</v>
      </c>
      <c r="H1350" s="6" t="s">
        <v>84</v>
      </c>
      <c r="I1350" s="8" t="s">
        <v>184</v>
      </c>
      <c r="J1350" s="9">
        <v>1</v>
      </c>
      <c r="K1350" s="9">
        <v>532</v>
      </c>
      <c r="L1350" s="9">
        <v>2023</v>
      </c>
      <c r="M1350" s="8" t="s">
        <v>7278</v>
      </c>
      <c r="N1350" s="8" t="s">
        <v>40</v>
      </c>
      <c r="O1350" s="8" t="s">
        <v>41</v>
      </c>
      <c r="P1350" s="6" t="s">
        <v>95</v>
      </c>
      <c r="Q1350" s="8" t="s">
        <v>76</v>
      </c>
      <c r="R1350" s="10" t="s">
        <v>113</v>
      </c>
      <c r="S1350" s="11" t="s">
        <v>7279</v>
      </c>
      <c r="T1350" s="6"/>
      <c r="U1350" s="28" t="str">
        <f>HYPERLINK("https://media.infra-m.ru/1940/1940902/cover/1940902.jpg", "Обложка")</f>
        <v>Обложка</v>
      </c>
      <c r="V1350" s="28" t="str">
        <f>HYPERLINK("https://znanium.ru/catalog/product/1918610", "Ознакомиться")</f>
        <v>Ознакомиться</v>
      </c>
      <c r="W1350" s="8" t="s">
        <v>813</v>
      </c>
      <c r="X1350" s="6"/>
      <c r="Y1350" s="6"/>
      <c r="Z1350" s="6"/>
      <c r="AA1350" s="6" t="s">
        <v>353</v>
      </c>
    </row>
    <row r="1351" spans="1:27" s="4" customFormat="1" ht="51.95" customHeight="1">
      <c r="A1351" s="5">
        <v>0</v>
      </c>
      <c r="B1351" s="6" t="s">
        <v>7280</v>
      </c>
      <c r="C1351" s="7">
        <v>2868</v>
      </c>
      <c r="D1351" s="8" t="s">
        <v>7281</v>
      </c>
      <c r="E1351" s="8" t="s">
        <v>7276</v>
      </c>
      <c r="F1351" s="8" t="s">
        <v>7277</v>
      </c>
      <c r="G1351" s="6" t="s">
        <v>37</v>
      </c>
      <c r="H1351" s="6" t="s">
        <v>84</v>
      </c>
      <c r="I1351" s="8" t="s">
        <v>93</v>
      </c>
      <c r="J1351" s="9">
        <v>1</v>
      </c>
      <c r="K1351" s="9">
        <v>532</v>
      </c>
      <c r="L1351" s="9">
        <v>2023</v>
      </c>
      <c r="M1351" s="8" t="s">
        <v>7282</v>
      </c>
      <c r="N1351" s="8" t="s">
        <v>40</v>
      </c>
      <c r="O1351" s="8" t="s">
        <v>41</v>
      </c>
      <c r="P1351" s="6" t="s">
        <v>95</v>
      </c>
      <c r="Q1351" s="8" t="s">
        <v>96</v>
      </c>
      <c r="R1351" s="10" t="s">
        <v>97</v>
      </c>
      <c r="S1351" s="11" t="s">
        <v>7283</v>
      </c>
      <c r="T1351" s="6"/>
      <c r="U1351" s="28" t="str">
        <f>HYPERLINK("https://media.infra-m.ru/1932/1932344/cover/1932344.jpg", "Обложка")</f>
        <v>Обложка</v>
      </c>
      <c r="V1351" s="28" t="str">
        <f>HYPERLINK("https://znanium.ru/catalog/product/1932344", "Ознакомиться")</f>
        <v>Ознакомиться</v>
      </c>
      <c r="W1351" s="8" t="s">
        <v>813</v>
      </c>
      <c r="X1351" s="6"/>
      <c r="Y1351" s="6"/>
      <c r="Z1351" s="6" t="s">
        <v>136</v>
      </c>
      <c r="AA1351" s="6" t="s">
        <v>353</v>
      </c>
    </row>
    <row r="1352" spans="1:27" s="4" customFormat="1" ht="51.95" customHeight="1">
      <c r="A1352" s="5">
        <v>0</v>
      </c>
      <c r="B1352" s="6" t="s">
        <v>7284</v>
      </c>
      <c r="C1352" s="7">
        <v>3144</v>
      </c>
      <c r="D1352" s="8" t="s">
        <v>7285</v>
      </c>
      <c r="E1352" s="8" t="s">
        <v>7286</v>
      </c>
      <c r="F1352" s="8" t="s">
        <v>7287</v>
      </c>
      <c r="G1352" s="6" t="s">
        <v>58</v>
      </c>
      <c r="H1352" s="6" t="s">
        <v>84</v>
      </c>
      <c r="I1352" s="8" t="s">
        <v>93</v>
      </c>
      <c r="J1352" s="9">
        <v>1</v>
      </c>
      <c r="K1352" s="9">
        <v>583</v>
      </c>
      <c r="L1352" s="9">
        <v>2023</v>
      </c>
      <c r="M1352" s="8" t="s">
        <v>7288</v>
      </c>
      <c r="N1352" s="8" t="s">
        <v>40</v>
      </c>
      <c r="O1352" s="8" t="s">
        <v>41</v>
      </c>
      <c r="P1352" s="6" t="s">
        <v>95</v>
      </c>
      <c r="Q1352" s="8" t="s">
        <v>96</v>
      </c>
      <c r="R1352" s="10" t="s">
        <v>97</v>
      </c>
      <c r="S1352" s="11" t="s">
        <v>7283</v>
      </c>
      <c r="T1352" s="6"/>
      <c r="U1352" s="28" t="str">
        <f>HYPERLINK("https://media.infra-m.ru/2008/2008689/cover/2008689.jpg", "Обложка")</f>
        <v>Обложка</v>
      </c>
      <c r="V1352" s="28" t="str">
        <f>HYPERLINK("https://znanium.ru/catalog/product/2008689", "Ознакомиться")</f>
        <v>Ознакомиться</v>
      </c>
      <c r="W1352" s="8" t="s">
        <v>7289</v>
      </c>
      <c r="X1352" s="6"/>
      <c r="Y1352" s="6"/>
      <c r="Z1352" s="6" t="s">
        <v>136</v>
      </c>
      <c r="AA1352" s="6" t="s">
        <v>417</v>
      </c>
    </row>
    <row r="1353" spans="1:27" s="4" customFormat="1" ht="51.95" customHeight="1">
      <c r="A1353" s="5">
        <v>0</v>
      </c>
      <c r="B1353" s="6" t="s">
        <v>7290</v>
      </c>
      <c r="C1353" s="7">
        <v>3288</v>
      </c>
      <c r="D1353" s="8" t="s">
        <v>7291</v>
      </c>
      <c r="E1353" s="8" t="s">
        <v>7286</v>
      </c>
      <c r="F1353" s="8" t="s">
        <v>7287</v>
      </c>
      <c r="G1353" s="6" t="s">
        <v>58</v>
      </c>
      <c r="H1353" s="6" t="s">
        <v>84</v>
      </c>
      <c r="I1353" s="8" t="s">
        <v>120</v>
      </c>
      <c r="J1353" s="9">
        <v>1</v>
      </c>
      <c r="K1353" s="9">
        <v>583</v>
      </c>
      <c r="L1353" s="9">
        <v>2024</v>
      </c>
      <c r="M1353" s="8" t="s">
        <v>7292</v>
      </c>
      <c r="N1353" s="8" t="s">
        <v>40</v>
      </c>
      <c r="O1353" s="8" t="s">
        <v>41</v>
      </c>
      <c r="P1353" s="6" t="s">
        <v>95</v>
      </c>
      <c r="Q1353" s="8" t="s">
        <v>76</v>
      </c>
      <c r="R1353" s="10" t="s">
        <v>97</v>
      </c>
      <c r="S1353" s="11" t="s">
        <v>7279</v>
      </c>
      <c r="T1353" s="6"/>
      <c r="U1353" s="28" t="str">
        <f>HYPERLINK("https://media.infra-m.ru/2139/2139857/cover/2139857.jpg", "Обложка")</f>
        <v>Обложка</v>
      </c>
      <c r="V1353" s="28" t="str">
        <f>HYPERLINK("https://znanium.ru/catalog/product/2139857", "Ознакомиться")</f>
        <v>Ознакомиться</v>
      </c>
      <c r="W1353" s="8" t="s">
        <v>7289</v>
      </c>
      <c r="X1353" s="6"/>
      <c r="Y1353" s="6"/>
      <c r="Z1353" s="6"/>
      <c r="AA1353" s="6" t="s">
        <v>417</v>
      </c>
    </row>
    <row r="1354" spans="1:27" s="4" customFormat="1" ht="51.95" customHeight="1">
      <c r="A1354" s="5">
        <v>0</v>
      </c>
      <c r="B1354" s="6" t="s">
        <v>7293</v>
      </c>
      <c r="C1354" s="13">
        <v>737.9</v>
      </c>
      <c r="D1354" s="8" t="s">
        <v>7294</v>
      </c>
      <c r="E1354" s="8" t="s">
        <v>7295</v>
      </c>
      <c r="F1354" s="8" t="s">
        <v>7296</v>
      </c>
      <c r="G1354" s="6" t="s">
        <v>51</v>
      </c>
      <c r="H1354" s="6" t="s">
        <v>84</v>
      </c>
      <c r="I1354" s="8" t="s">
        <v>184</v>
      </c>
      <c r="J1354" s="9">
        <v>1</v>
      </c>
      <c r="K1354" s="9">
        <v>162</v>
      </c>
      <c r="L1354" s="9">
        <v>2022</v>
      </c>
      <c r="M1354" s="8" t="s">
        <v>7297</v>
      </c>
      <c r="N1354" s="8" t="s">
        <v>40</v>
      </c>
      <c r="O1354" s="8" t="s">
        <v>41</v>
      </c>
      <c r="P1354" s="6" t="s">
        <v>75</v>
      </c>
      <c r="Q1354" s="8" t="s">
        <v>76</v>
      </c>
      <c r="R1354" s="10" t="s">
        <v>3244</v>
      </c>
      <c r="S1354" s="11" t="s">
        <v>2053</v>
      </c>
      <c r="T1354" s="6"/>
      <c r="U1354" s="28" t="str">
        <f>HYPERLINK("https://media.infra-m.ru/1862/1862614/cover/1862614.jpg", "Обложка")</f>
        <v>Обложка</v>
      </c>
      <c r="V1354" s="28" t="str">
        <f>HYPERLINK("https://znanium.ru/catalog/product/1876367", "Ознакомиться")</f>
        <v>Ознакомиться</v>
      </c>
      <c r="W1354" s="8" t="s">
        <v>3245</v>
      </c>
      <c r="X1354" s="6"/>
      <c r="Y1354" s="6"/>
      <c r="Z1354" s="6"/>
      <c r="AA1354" s="6" t="s">
        <v>46</v>
      </c>
    </row>
    <row r="1355" spans="1:27" s="4" customFormat="1" ht="51.95" customHeight="1">
      <c r="A1355" s="5">
        <v>0</v>
      </c>
      <c r="B1355" s="6" t="s">
        <v>7298</v>
      </c>
      <c r="C1355" s="13">
        <v>912</v>
      </c>
      <c r="D1355" s="8" t="s">
        <v>7299</v>
      </c>
      <c r="E1355" s="8" t="s">
        <v>7300</v>
      </c>
      <c r="F1355" s="8" t="s">
        <v>7296</v>
      </c>
      <c r="G1355" s="6" t="s">
        <v>58</v>
      </c>
      <c r="H1355" s="6" t="s">
        <v>84</v>
      </c>
      <c r="I1355" s="8" t="s">
        <v>184</v>
      </c>
      <c r="J1355" s="9">
        <v>1</v>
      </c>
      <c r="K1355" s="9">
        <v>165</v>
      </c>
      <c r="L1355" s="9">
        <v>2023</v>
      </c>
      <c r="M1355" s="8" t="s">
        <v>7301</v>
      </c>
      <c r="N1355" s="8" t="s">
        <v>40</v>
      </c>
      <c r="O1355" s="8" t="s">
        <v>41</v>
      </c>
      <c r="P1355" s="6" t="s">
        <v>75</v>
      </c>
      <c r="Q1355" s="8" t="s">
        <v>76</v>
      </c>
      <c r="R1355" s="10" t="s">
        <v>3244</v>
      </c>
      <c r="S1355" s="11" t="s">
        <v>7302</v>
      </c>
      <c r="T1355" s="6"/>
      <c r="U1355" s="28" t="str">
        <f>HYPERLINK("https://media.infra-m.ru/1876/1876367/cover/1876367.jpg", "Обложка")</f>
        <v>Обложка</v>
      </c>
      <c r="V1355" s="28" t="str">
        <f>HYPERLINK("https://znanium.ru/catalog/product/1876367", "Ознакомиться")</f>
        <v>Ознакомиться</v>
      </c>
      <c r="W1355" s="8" t="s">
        <v>3245</v>
      </c>
      <c r="X1355" s="6"/>
      <c r="Y1355" s="6"/>
      <c r="Z1355" s="6"/>
      <c r="AA1355" s="6" t="s">
        <v>137</v>
      </c>
    </row>
    <row r="1356" spans="1:27" s="4" customFormat="1" ht="51.95" customHeight="1">
      <c r="A1356" s="5">
        <v>0</v>
      </c>
      <c r="B1356" s="6" t="s">
        <v>7303</v>
      </c>
      <c r="C1356" s="7">
        <v>1262.3</v>
      </c>
      <c r="D1356" s="8" t="s">
        <v>7304</v>
      </c>
      <c r="E1356" s="8" t="s">
        <v>7305</v>
      </c>
      <c r="F1356" s="8" t="s">
        <v>7306</v>
      </c>
      <c r="G1356" s="6" t="s">
        <v>58</v>
      </c>
      <c r="H1356" s="6" t="s">
        <v>38</v>
      </c>
      <c r="I1356" s="8"/>
      <c r="J1356" s="9">
        <v>1</v>
      </c>
      <c r="K1356" s="9">
        <v>336</v>
      </c>
      <c r="L1356" s="9">
        <v>2017</v>
      </c>
      <c r="M1356" s="8" t="s">
        <v>7307</v>
      </c>
      <c r="N1356" s="8" t="s">
        <v>40</v>
      </c>
      <c r="O1356" s="8" t="s">
        <v>41</v>
      </c>
      <c r="P1356" s="6" t="s">
        <v>42</v>
      </c>
      <c r="Q1356" s="8" t="s">
        <v>43</v>
      </c>
      <c r="R1356" s="10" t="s">
        <v>7308</v>
      </c>
      <c r="S1356" s="11"/>
      <c r="T1356" s="6"/>
      <c r="U1356" s="28" t="str">
        <f>HYPERLINK("https://media.infra-m.ru/0814/0814381/cover/814381.jpg", "Обложка")</f>
        <v>Обложка</v>
      </c>
      <c r="V1356" s="28" t="str">
        <f>HYPERLINK("https://znanium.ru/catalog/product/814381", "Ознакомиться")</f>
        <v>Ознакомиться</v>
      </c>
      <c r="W1356" s="8" t="s">
        <v>7309</v>
      </c>
      <c r="X1356" s="6"/>
      <c r="Y1356" s="6"/>
      <c r="Z1356" s="6"/>
      <c r="AA1356" s="6" t="s">
        <v>88</v>
      </c>
    </row>
    <row r="1357" spans="1:27" s="4" customFormat="1" ht="42" customHeight="1">
      <c r="A1357" s="5">
        <v>0</v>
      </c>
      <c r="B1357" s="6" t="s">
        <v>7310</v>
      </c>
      <c r="C1357" s="7">
        <v>1648.8</v>
      </c>
      <c r="D1357" s="8" t="s">
        <v>7311</v>
      </c>
      <c r="E1357" s="8" t="s">
        <v>7312</v>
      </c>
      <c r="F1357" s="8" t="s">
        <v>7313</v>
      </c>
      <c r="G1357" s="6" t="s">
        <v>58</v>
      </c>
      <c r="H1357" s="6" t="s">
        <v>38</v>
      </c>
      <c r="I1357" s="8"/>
      <c r="J1357" s="9">
        <v>1</v>
      </c>
      <c r="K1357" s="9">
        <v>288</v>
      </c>
      <c r="L1357" s="9">
        <v>2024</v>
      </c>
      <c r="M1357" s="8" t="s">
        <v>7314</v>
      </c>
      <c r="N1357" s="8" t="s">
        <v>40</v>
      </c>
      <c r="O1357" s="8" t="s">
        <v>41</v>
      </c>
      <c r="P1357" s="6" t="s">
        <v>42</v>
      </c>
      <c r="Q1357" s="8" t="s">
        <v>43</v>
      </c>
      <c r="R1357" s="10" t="s">
        <v>5208</v>
      </c>
      <c r="S1357" s="11"/>
      <c r="T1357" s="6"/>
      <c r="U1357" s="28" t="str">
        <f>HYPERLINK("https://media.infra-m.ru/2133/2133353/cover/2133353.jpg", "Обложка")</f>
        <v>Обложка</v>
      </c>
      <c r="V1357" s="28" t="str">
        <f>HYPERLINK("https://znanium.ru/catalog/product/1893198", "Ознакомиться")</f>
        <v>Ознакомиться</v>
      </c>
      <c r="W1357" s="8" t="s">
        <v>114</v>
      </c>
      <c r="X1357" s="6"/>
      <c r="Y1357" s="6"/>
      <c r="Z1357" s="6"/>
      <c r="AA1357" s="6" t="s">
        <v>353</v>
      </c>
    </row>
    <row r="1358" spans="1:27" s="4" customFormat="1" ht="51.95" customHeight="1">
      <c r="A1358" s="5">
        <v>0</v>
      </c>
      <c r="B1358" s="6" t="s">
        <v>7315</v>
      </c>
      <c r="C1358" s="7">
        <v>1320</v>
      </c>
      <c r="D1358" s="8" t="s">
        <v>7316</v>
      </c>
      <c r="E1358" s="8" t="s">
        <v>7317</v>
      </c>
      <c r="F1358" s="8" t="s">
        <v>7318</v>
      </c>
      <c r="G1358" s="6" t="s">
        <v>58</v>
      </c>
      <c r="H1358" s="6" t="s">
        <v>84</v>
      </c>
      <c r="I1358" s="8" t="s">
        <v>6534</v>
      </c>
      <c r="J1358" s="9">
        <v>1</v>
      </c>
      <c r="K1358" s="9">
        <v>217</v>
      </c>
      <c r="L1358" s="9">
        <v>2024</v>
      </c>
      <c r="M1358" s="8" t="s">
        <v>7319</v>
      </c>
      <c r="N1358" s="8" t="s">
        <v>40</v>
      </c>
      <c r="O1358" s="8" t="s">
        <v>41</v>
      </c>
      <c r="P1358" s="6" t="s">
        <v>2546</v>
      </c>
      <c r="Q1358" s="8" t="s">
        <v>43</v>
      </c>
      <c r="R1358" s="10" t="s">
        <v>617</v>
      </c>
      <c r="S1358" s="11"/>
      <c r="T1358" s="6"/>
      <c r="U1358" s="28" t="str">
        <f>HYPERLINK("https://media.infra-m.ru/1946/1946243/cover/1946243.jpg", "Обложка")</f>
        <v>Обложка</v>
      </c>
      <c r="V1358" s="28" t="str">
        <f>HYPERLINK("https://znanium.ru/catalog/product/1946243", "Ознакомиться")</f>
        <v>Ознакомиться</v>
      </c>
      <c r="W1358" s="8" t="s">
        <v>3245</v>
      </c>
      <c r="X1358" s="6" t="s">
        <v>447</v>
      </c>
      <c r="Y1358" s="6"/>
      <c r="Z1358" s="6"/>
      <c r="AA1358" s="6" t="s">
        <v>100</v>
      </c>
    </row>
    <row r="1359" spans="1:27" s="4" customFormat="1" ht="44.1" customHeight="1">
      <c r="A1359" s="5">
        <v>0</v>
      </c>
      <c r="B1359" s="6" t="s">
        <v>7320</v>
      </c>
      <c r="C1359" s="7">
        <v>1073.9000000000001</v>
      </c>
      <c r="D1359" s="8" t="s">
        <v>7321</v>
      </c>
      <c r="E1359" s="8" t="s">
        <v>7322</v>
      </c>
      <c r="F1359" s="8" t="s">
        <v>5376</v>
      </c>
      <c r="G1359" s="6" t="s">
        <v>58</v>
      </c>
      <c r="H1359" s="6" t="s">
        <v>52</v>
      </c>
      <c r="I1359" s="8" t="s">
        <v>184</v>
      </c>
      <c r="J1359" s="9">
        <v>1</v>
      </c>
      <c r="K1359" s="9">
        <v>280</v>
      </c>
      <c r="L1359" s="9">
        <v>2018</v>
      </c>
      <c r="M1359" s="8" t="s">
        <v>7323</v>
      </c>
      <c r="N1359" s="8" t="s">
        <v>40</v>
      </c>
      <c r="O1359" s="8" t="s">
        <v>41</v>
      </c>
      <c r="P1359" s="6" t="s">
        <v>75</v>
      </c>
      <c r="Q1359" s="8" t="s">
        <v>76</v>
      </c>
      <c r="R1359" s="10" t="s">
        <v>4578</v>
      </c>
      <c r="S1359" s="11"/>
      <c r="T1359" s="6"/>
      <c r="U1359" s="28" t="str">
        <f>HYPERLINK("https://media.infra-m.ru/0938/0938042/cover/938042.jpg", "Обложка")</f>
        <v>Обложка</v>
      </c>
      <c r="V1359" s="28" t="str">
        <f>HYPERLINK("https://znanium.ru/catalog/product/938042", "Ознакомиться")</f>
        <v>Ознакомиться</v>
      </c>
      <c r="W1359" s="8"/>
      <c r="X1359" s="6"/>
      <c r="Y1359" s="6"/>
      <c r="Z1359" s="6"/>
      <c r="AA1359" s="6" t="s">
        <v>88</v>
      </c>
    </row>
    <row r="1360" spans="1:27" s="4" customFormat="1" ht="51.95" customHeight="1">
      <c r="A1360" s="5">
        <v>0</v>
      </c>
      <c r="B1360" s="6" t="s">
        <v>7324</v>
      </c>
      <c r="C1360" s="7">
        <v>2340</v>
      </c>
      <c r="D1360" s="8" t="s">
        <v>7325</v>
      </c>
      <c r="E1360" s="8" t="s">
        <v>7326</v>
      </c>
      <c r="F1360" s="8" t="s">
        <v>7327</v>
      </c>
      <c r="G1360" s="6" t="s">
        <v>37</v>
      </c>
      <c r="H1360" s="6" t="s">
        <v>38</v>
      </c>
      <c r="I1360" s="8"/>
      <c r="J1360" s="9">
        <v>1</v>
      </c>
      <c r="K1360" s="9">
        <v>432</v>
      </c>
      <c r="L1360" s="9">
        <v>2023</v>
      </c>
      <c r="M1360" s="8" t="s">
        <v>7328</v>
      </c>
      <c r="N1360" s="8" t="s">
        <v>40</v>
      </c>
      <c r="O1360" s="8" t="s">
        <v>41</v>
      </c>
      <c r="P1360" s="6" t="s">
        <v>95</v>
      </c>
      <c r="Q1360" s="8" t="s">
        <v>76</v>
      </c>
      <c r="R1360" s="10" t="s">
        <v>234</v>
      </c>
      <c r="S1360" s="11" t="s">
        <v>7329</v>
      </c>
      <c r="T1360" s="6"/>
      <c r="U1360" s="28" t="str">
        <f>HYPERLINK("https://media.infra-m.ru/1910/1910763/cover/1910763.jpg", "Обложка")</f>
        <v>Обложка</v>
      </c>
      <c r="V1360" s="28" t="str">
        <f>HYPERLINK("https://znanium.ru/catalog/product/2106677", "Ознакомиться")</f>
        <v>Ознакомиться</v>
      </c>
      <c r="W1360" s="8" t="s">
        <v>423</v>
      </c>
      <c r="X1360" s="6"/>
      <c r="Y1360" s="6"/>
      <c r="Z1360" s="6"/>
      <c r="AA1360" s="6" t="s">
        <v>2472</v>
      </c>
    </row>
    <row r="1361" spans="1:27" s="4" customFormat="1" ht="51.95" customHeight="1">
      <c r="A1361" s="5">
        <v>0</v>
      </c>
      <c r="B1361" s="6" t="s">
        <v>7330</v>
      </c>
      <c r="C1361" s="7">
        <v>2608.8000000000002</v>
      </c>
      <c r="D1361" s="8" t="s">
        <v>7331</v>
      </c>
      <c r="E1361" s="8" t="s">
        <v>7332</v>
      </c>
      <c r="F1361" s="8" t="s">
        <v>7327</v>
      </c>
      <c r="G1361" s="6" t="s">
        <v>37</v>
      </c>
      <c r="H1361" s="6" t="s">
        <v>38</v>
      </c>
      <c r="I1361" s="8"/>
      <c r="J1361" s="9">
        <v>1</v>
      </c>
      <c r="K1361" s="9">
        <v>464</v>
      </c>
      <c r="L1361" s="9">
        <v>2024</v>
      </c>
      <c r="M1361" s="8" t="s">
        <v>7333</v>
      </c>
      <c r="N1361" s="8" t="s">
        <v>40</v>
      </c>
      <c r="O1361" s="8" t="s">
        <v>41</v>
      </c>
      <c r="P1361" s="6" t="s">
        <v>95</v>
      </c>
      <c r="Q1361" s="8" t="s">
        <v>76</v>
      </c>
      <c r="R1361" s="10" t="s">
        <v>234</v>
      </c>
      <c r="S1361" s="11" t="s">
        <v>7329</v>
      </c>
      <c r="T1361" s="6"/>
      <c r="U1361" s="28" t="str">
        <f>HYPERLINK("https://media.infra-m.ru/2122/2122507/cover/2122507.jpg", "Обложка")</f>
        <v>Обложка</v>
      </c>
      <c r="V1361" s="28" t="str">
        <f>HYPERLINK("https://znanium.ru/catalog/product/2106677", "Ознакомиться")</f>
        <v>Ознакомиться</v>
      </c>
      <c r="W1361" s="8" t="s">
        <v>423</v>
      </c>
      <c r="X1361" s="6"/>
      <c r="Y1361" s="6"/>
      <c r="Z1361" s="6"/>
      <c r="AA1361" s="6" t="s">
        <v>4546</v>
      </c>
    </row>
    <row r="1362" spans="1:27" s="4" customFormat="1" ht="51.95" customHeight="1">
      <c r="A1362" s="5">
        <v>0</v>
      </c>
      <c r="B1362" s="6" t="s">
        <v>7334</v>
      </c>
      <c r="C1362" s="7">
        <v>1073.9000000000001</v>
      </c>
      <c r="D1362" s="8" t="s">
        <v>7335</v>
      </c>
      <c r="E1362" s="8" t="s">
        <v>7336</v>
      </c>
      <c r="F1362" s="8" t="s">
        <v>7337</v>
      </c>
      <c r="G1362" s="6" t="s">
        <v>58</v>
      </c>
      <c r="H1362" s="6" t="s">
        <v>38</v>
      </c>
      <c r="I1362" s="8"/>
      <c r="J1362" s="9">
        <v>1</v>
      </c>
      <c r="K1362" s="9">
        <v>448</v>
      </c>
      <c r="L1362" s="9">
        <v>2016</v>
      </c>
      <c r="M1362" s="8" t="s">
        <v>7338</v>
      </c>
      <c r="N1362" s="8" t="s">
        <v>40</v>
      </c>
      <c r="O1362" s="8" t="s">
        <v>41</v>
      </c>
      <c r="P1362" s="6" t="s">
        <v>95</v>
      </c>
      <c r="Q1362" s="8" t="s">
        <v>76</v>
      </c>
      <c r="R1362" s="10" t="s">
        <v>234</v>
      </c>
      <c r="S1362" s="11" t="s">
        <v>7329</v>
      </c>
      <c r="T1362" s="6"/>
      <c r="U1362" s="12"/>
      <c r="V1362" s="28" t="str">
        <f>HYPERLINK("https://znanium.ru/catalog/product/2106677", "Ознакомиться")</f>
        <v>Ознакомиться</v>
      </c>
      <c r="W1362" s="8" t="s">
        <v>423</v>
      </c>
      <c r="X1362" s="6"/>
      <c r="Y1362" s="6"/>
      <c r="Z1362" s="6"/>
      <c r="AA1362" s="6" t="s">
        <v>7339</v>
      </c>
    </row>
    <row r="1363" spans="1:27" s="4" customFormat="1" ht="51.95" customHeight="1">
      <c r="A1363" s="5">
        <v>0</v>
      </c>
      <c r="B1363" s="6" t="s">
        <v>7340</v>
      </c>
      <c r="C1363" s="7">
        <v>1073.9000000000001</v>
      </c>
      <c r="D1363" s="8" t="s">
        <v>7341</v>
      </c>
      <c r="E1363" s="8" t="s">
        <v>7342</v>
      </c>
      <c r="F1363" s="8" t="s">
        <v>7343</v>
      </c>
      <c r="G1363" s="6" t="s">
        <v>1764</v>
      </c>
      <c r="H1363" s="6" t="s">
        <v>278</v>
      </c>
      <c r="I1363" s="8"/>
      <c r="J1363" s="9">
        <v>1</v>
      </c>
      <c r="K1363" s="9">
        <v>496</v>
      </c>
      <c r="L1363" s="9">
        <v>2016</v>
      </c>
      <c r="M1363" s="8" t="s">
        <v>7344</v>
      </c>
      <c r="N1363" s="8" t="s">
        <v>40</v>
      </c>
      <c r="O1363" s="8" t="s">
        <v>41</v>
      </c>
      <c r="P1363" s="6" t="s">
        <v>75</v>
      </c>
      <c r="Q1363" s="8" t="s">
        <v>76</v>
      </c>
      <c r="R1363" s="10" t="s">
        <v>4578</v>
      </c>
      <c r="S1363" s="11" t="s">
        <v>7345</v>
      </c>
      <c r="T1363" s="6"/>
      <c r="U1363" s="28" t="str">
        <f>HYPERLINK("https://media.infra-m.ru/0520/0520340/cover/520340.jpg", "Обложка")</f>
        <v>Обложка</v>
      </c>
      <c r="V1363" s="28" t="str">
        <f>HYPERLINK("https://znanium.ru/catalog/product/2122510", "Ознакомиться")</f>
        <v>Ознакомиться</v>
      </c>
      <c r="W1363" s="8" t="s">
        <v>194</v>
      </c>
      <c r="X1363" s="6"/>
      <c r="Y1363" s="6"/>
      <c r="Z1363" s="6"/>
      <c r="AA1363" s="6" t="s">
        <v>431</v>
      </c>
    </row>
    <row r="1364" spans="1:27" s="4" customFormat="1" ht="51.95" customHeight="1">
      <c r="A1364" s="5">
        <v>0</v>
      </c>
      <c r="B1364" s="6" t="s">
        <v>7346</v>
      </c>
      <c r="C1364" s="7">
        <v>2820</v>
      </c>
      <c r="D1364" s="8" t="s">
        <v>7347</v>
      </c>
      <c r="E1364" s="8" t="s">
        <v>7348</v>
      </c>
      <c r="F1364" s="8" t="s">
        <v>4670</v>
      </c>
      <c r="G1364" s="6" t="s">
        <v>37</v>
      </c>
      <c r="H1364" s="6" t="s">
        <v>84</v>
      </c>
      <c r="I1364" s="8" t="s">
        <v>120</v>
      </c>
      <c r="J1364" s="9">
        <v>1</v>
      </c>
      <c r="K1364" s="9">
        <v>667</v>
      </c>
      <c r="L1364" s="9">
        <v>2024</v>
      </c>
      <c r="M1364" s="8" t="s">
        <v>7349</v>
      </c>
      <c r="N1364" s="8" t="s">
        <v>40</v>
      </c>
      <c r="O1364" s="8" t="s">
        <v>41</v>
      </c>
      <c r="P1364" s="6" t="s">
        <v>75</v>
      </c>
      <c r="Q1364" s="8" t="s">
        <v>76</v>
      </c>
      <c r="R1364" s="10" t="s">
        <v>4578</v>
      </c>
      <c r="S1364" s="11" t="s">
        <v>7350</v>
      </c>
      <c r="T1364" s="6"/>
      <c r="U1364" s="28" t="str">
        <f>HYPERLINK("https://media.infra-m.ru/2122/2122510/cover/2122510.jpg", "Обложка")</f>
        <v>Обложка</v>
      </c>
      <c r="V1364" s="28" t="str">
        <f>HYPERLINK("https://znanium.ru/catalog/product/2122510", "Ознакомиться")</f>
        <v>Ознакомиться</v>
      </c>
      <c r="W1364" s="8" t="s">
        <v>194</v>
      </c>
      <c r="X1364" s="6"/>
      <c r="Y1364" s="6"/>
      <c r="Z1364" s="6"/>
      <c r="AA1364" s="6" t="s">
        <v>769</v>
      </c>
    </row>
    <row r="1365" spans="1:27" s="4" customFormat="1" ht="51.95" customHeight="1">
      <c r="A1365" s="5">
        <v>0</v>
      </c>
      <c r="B1365" s="6" t="s">
        <v>7351</v>
      </c>
      <c r="C1365" s="7">
        <v>2100</v>
      </c>
      <c r="D1365" s="8" t="s">
        <v>7352</v>
      </c>
      <c r="E1365" s="8" t="s">
        <v>7322</v>
      </c>
      <c r="F1365" s="8" t="s">
        <v>7353</v>
      </c>
      <c r="G1365" s="6" t="s">
        <v>37</v>
      </c>
      <c r="H1365" s="6" t="s">
        <v>84</v>
      </c>
      <c r="I1365" s="8" t="s">
        <v>93</v>
      </c>
      <c r="J1365" s="9">
        <v>1</v>
      </c>
      <c r="K1365" s="9">
        <v>380</v>
      </c>
      <c r="L1365" s="9">
        <v>2024</v>
      </c>
      <c r="M1365" s="8" t="s">
        <v>7354</v>
      </c>
      <c r="N1365" s="8" t="s">
        <v>40</v>
      </c>
      <c r="O1365" s="8" t="s">
        <v>41</v>
      </c>
      <c r="P1365" s="6" t="s">
        <v>95</v>
      </c>
      <c r="Q1365" s="8" t="s">
        <v>96</v>
      </c>
      <c r="R1365" s="10" t="s">
        <v>7355</v>
      </c>
      <c r="S1365" s="11" t="s">
        <v>7356</v>
      </c>
      <c r="T1365" s="6"/>
      <c r="U1365" s="28" t="str">
        <f>HYPERLINK("https://media.infra-m.ru/2083/2083090/cover/2083090.jpg", "Обложка")</f>
        <v>Обложка</v>
      </c>
      <c r="V1365" s="28" t="str">
        <f>HYPERLINK("https://znanium.ru/catalog/product/2083090", "Ознакомиться")</f>
        <v>Ознакомиться</v>
      </c>
      <c r="W1365" s="8" t="s">
        <v>7357</v>
      </c>
      <c r="X1365" s="6"/>
      <c r="Y1365" s="6"/>
      <c r="Z1365" s="6" t="s">
        <v>1153</v>
      </c>
      <c r="AA1365" s="6" t="s">
        <v>353</v>
      </c>
    </row>
    <row r="1366" spans="1:27" s="4" customFormat="1" ht="51.95" customHeight="1">
      <c r="A1366" s="5">
        <v>0</v>
      </c>
      <c r="B1366" s="6" t="s">
        <v>7358</v>
      </c>
      <c r="C1366" s="7">
        <v>2100</v>
      </c>
      <c r="D1366" s="8" t="s">
        <v>7359</v>
      </c>
      <c r="E1366" s="8" t="s">
        <v>7322</v>
      </c>
      <c r="F1366" s="8" t="s">
        <v>7353</v>
      </c>
      <c r="G1366" s="6" t="s">
        <v>37</v>
      </c>
      <c r="H1366" s="6" t="s">
        <v>84</v>
      </c>
      <c r="I1366" s="8" t="s">
        <v>120</v>
      </c>
      <c r="J1366" s="9">
        <v>1</v>
      </c>
      <c r="K1366" s="9">
        <v>380</v>
      </c>
      <c r="L1366" s="9">
        <v>2024</v>
      </c>
      <c r="M1366" s="8" t="s">
        <v>7360</v>
      </c>
      <c r="N1366" s="8" t="s">
        <v>40</v>
      </c>
      <c r="O1366" s="8" t="s">
        <v>41</v>
      </c>
      <c r="P1366" s="6" t="s">
        <v>95</v>
      </c>
      <c r="Q1366" s="8" t="s">
        <v>515</v>
      </c>
      <c r="R1366" s="10" t="s">
        <v>77</v>
      </c>
      <c r="S1366" s="11" t="s">
        <v>1248</v>
      </c>
      <c r="T1366" s="6"/>
      <c r="U1366" s="28" t="str">
        <f>HYPERLINK("https://media.infra-m.ru/2018/2018259/cover/2018259.jpg", "Обложка")</f>
        <v>Обложка</v>
      </c>
      <c r="V1366" s="28" t="str">
        <f>HYPERLINK("https://znanium.ru/catalog/product/2018259", "Ознакомиться")</f>
        <v>Ознакомиться</v>
      </c>
      <c r="W1366" s="8" t="s">
        <v>7357</v>
      </c>
      <c r="X1366" s="6"/>
      <c r="Y1366" s="6"/>
      <c r="Z1366" s="6"/>
      <c r="AA1366" s="6" t="s">
        <v>79</v>
      </c>
    </row>
    <row r="1367" spans="1:27" s="4" customFormat="1" ht="51.95" customHeight="1">
      <c r="A1367" s="5">
        <v>0</v>
      </c>
      <c r="B1367" s="6" t="s">
        <v>7361</v>
      </c>
      <c r="C1367" s="7">
        <v>1860</v>
      </c>
      <c r="D1367" s="8" t="s">
        <v>7362</v>
      </c>
      <c r="E1367" s="8" t="s">
        <v>7322</v>
      </c>
      <c r="F1367" s="8" t="s">
        <v>7363</v>
      </c>
      <c r="G1367" s="6" t="s">
        <v>37</v>
      </c>
      <c r="H1367" s="6" t="s">
        <v>38</v>
      </c>
      <c r="I1367" s="8"/>
      <c r="J1367" s="9">
        <v>1</v>
      </c>
      <c r="K1367" s="9">
        <v>336</v>
      </c>
      <c r="L1367" s="9">
        <v>2024</v>
      </c>
      <c r="M1367" s="8" t="s">
        <v>7364</v>
      </c>
      <c r="N1367" s="8" t="s">
        <v>40</v>
      </c>
      <c r="O1367" s="8" t="s">
        <v>41</v>
      </c>
      <c r="P1367" s="6" t="s">
        <v>95</v>
      </c>
      <c r="Q1367" s="8" t="s">
        <v>2124</v>
      </c>
      <c r="R1367" s="10" t="s">
        <v>7365</v>
      </c>
      <c r="S1367" s="11"/>
      <c r="T1367" s="6"/>
      <c r="U1367" s="28" t="str">
        <f>HYPERLINK("https://media.infra-m.ru/2131/2131433/cover/2131433.jpg", "Обложка")</f>
        <v>Обложка</v>
      </c>
      <c r="V1367" s="28" t="str">
        <f>HYPERLINK("https://znanium.ru/catalog/product/1038303", "Ознакомиться")</f>
        <v>Ознакомиться</v>
      </c>
      <c r="W1367" s="8" t="s">
        <v>114</v>
      </c>
      <c r="X1367" s="6"/>
      <c r="Y1367" s="6"/>
      <c r="Z1367" s="6"/>
      <c r="AA1367" s="6" t="s">
        <v>148</v>
      </c>
    </row>
    <row r="1368" spans="1:27" s="4" customFormat="1" ht="42" customHeight="1">
      <c r="A1368" s="5">
        <v>0</v>
      </c>
      <c r="B1368" s="6" t="s">
        <v>7366</v>
      </c>
      <c r="C1368" s="7">
        <v>2148</v>
      </c>
      <c r="D1368" s="8" t="s">
        <v>7367</v>
      </c>
      <c r="E1368" s="8" t="s">
        <v>7368</v>
      </c>
      <c r="F1368" s="8" t="s">
        <v>5518</v>
      </c>
      <c r="G1368" s="6" t="s">
        <v>58</v>
      </c>
      <c r="H1368" s="6" t="s">
        <v>84</v>
      </c>
      <c r="I1368" s="8" t="s">
        <v>250</v>
      </c>
      <c r="J1368" s="9">
        <v>1</v>
      </c>
      <c r="K1368" s="9">
        <v>379</v>
      </c>
      <c r="L1368" s="9">
        <v>2024</v>
      </c>
      <c r="M1368" s="8" t="s">
        <v>7369</v>
      </c>
      <c r="N1368" s="8" t="s">
        <v>40</v>
      </c>
      <c r="O1368" s="8" t="s">
        <v>41</v>
      </c>
      <c r="P1368" s="6" t="s">
        <v>42</v>
      </c>
      <c r="Q1368" s="8" t="s">
        <v>43</v>
      </c>
      <c r="R1368" s="10" t="s">
        <v>1376</v>
      </c>
      <c r="S1368" s="11"/>
      <c r="T1368" s="6"/>
      <c r="U1368" s="28" t="str">
        <f>HYPERLINK("https://media.infra-m.ru/2100/2100002/cover/2100002.jpg", "Обложка")</f>
        <v>Обложка</v>
      </c>
      <c r="V1368" s="28" t="str">
        <f>HYPERLINK("https://znanium.ru/catalog/product/2100002", "Ознакомиться")</f>
        <v>Ознакомиться</v>
      </c>
      <c r="W1368" s="8" t="s">
        <v>1021</v>
      </c>
      <c r="X1368" s="6" t="s">
        <v>2400</v>
      </c>
      <c r="Y1368" s="6"/>
      <c r="Z1368" s="6"/>
      <c r="AA1368" s="6" t="s">
        <v>100</v>
      </c>
    </row>
    <row r="1369" spans="1:27" s="4" customFormat="1" ht="51.95" customHeight="1">
      <c r="A1369" s="5">
        <v>0</v>
      </c>
      <c r="B1369" s="6" t="s">
        <v>7370</v>
      </c>
      <c r="C1369" s="7">
        <v>1068</v>
      </c>
      <c r="D1369" s="8" t="s">
        <v>7371</v>
      </c>
      <c r="E1369" s="8" t="s">
        <v>7372</v>
      </c>
      <c r="F1369" s="8" t="s">
        <v>7232</v>
      </c>
      <c r="G1369" s="6" t="s">
        <v>37</v>
      </c>
      <c r="H1369" s="6" t="s">
        <v>84</v>
      </c>
      <c r="I1369" s="8" t="s">
        <v>320</v>
      </c>
      <c r="J1369" s="9">
        <v>1</v>
      </c>
      <c r="K1369" s="9">
        <v>188</v>
      </c>
      <c r="L1369" s="9">
        <v>2024</v>
      </c>
      <c r="M1369" s="8" t="s">
        <v>7373</v>
      </c>
      <c r="N1369" s="8" t="s">
        <v>40</v>
      </c>
      <c r="O1369" s="8" t="s">
        <v>41</v>
      </c>
      <c r="P1369" s="6" t="s">
        <v>75</v>
      </c>
      <c r="Q1369" s="8" t="s">
        <v>157</v>
      </c>
      <c r="R1369" s="10" t="s">
        <v>591</v>
      </c>
      <c r="S1369" s="11"/>
      <c r="T1369" s="6"/>
      <c r="U1369" s="28" t="str">
        <f>HYPERLINK("https://media.infra-m.ru/2140/2140771/cover/2140771.jpg", "Обложка")</f>
        <v>Обложка</v>
      </c>
      <c r="V1369" s="28" t="str">
        <f>HYPERLINK("https://znanium.ru/catalog/product/2140771", "Ознакомиться")</f>
        <v>Ознакомиться</v>
      </c>
      <c r="W1369" s="8" t="s">
        <v>3273</v>
      </c>
      <c r="X1369" s="6"/>
      <c r="Y1369" s="6"/>
      <c r="Z1369" s="6"/>
      <c r="AA1369" s="6" t="s">
        <v>865</v>
      </c>
    </row>
    <row r="1370" spans="1:27" s="4" customFormat="1" ht="51.95" customHeight="1">
      <c r="A1370" s="5">
        <v>0</v>
      </c>
      <c r="B1370" s="6" t="s">
        <v>7374</v>
      </c>
      <c r="C1370" s="13">
        <v>384</v>
      </c>
      <c r="D1370" s="8" t="s">
        <v>7375</v>
      </c>
      <c r="E1370" s="8" t="s">
        <v>7376</v>
      </c>
      <c r="F1370" s="8" t="s">
        <v>7232</v>
      </c>
      <c r="G1370" s="6" t="s">
        <v>51</v>
      </c>
      <c r="H1370" s="6" t="s">
        <v>84</v>
      </c>
      <c r="I1370" s="8" t="s">
        <v>320</v>
      </c>
      <c r="J1370" s="9">
        <v>1</v>
      </c>
      <c r="K1370" s="9">
        <v>115</v>
      </c>
      <c r="L1370" s="9">
        <v>2018</v>
      </c>
      <c r="M1370" s="8" t="s">
        <v>7377</v>
      </c>
      <c r="N1370" s="8" t="s">
        <v>40</v>
      </c>
      <c r="O1370" s="8" t="s">
        <v>41</v>
      </c>
      <c r="P1370" s="6" t="s">
        <v>75</v>
      </c>
      <c r="Q1370" s="8" t="s">
        <v>157</v>
      </c>
      <c r="R1370" s="10" t="s">
        <v>591</v>
      </c>
      <c r="S1370" s="11" t="s">
        <v>3251</v>
      </c>
      <c r="T1370" s="6"/>
      <c r="U1370" s="28" t="str">
        <f>HYPERLINK("https://media.infra-m.ru/0951/0951294/cover/951294.jpg", "Обложка")</f>
        <v>Обложка</v>
      </c>
      <c r="V1370" s="28" t="str">
        <f>HYPERLINK("https://znanium.ru/catalog/product/2140771", "Ознакомиться")</f>
        <v>Ознакомиться</v>
      </c>
      <c r="W1370" s="8" t="s">
        <v>3273</v>
      </c>
      <c r="X1370" s="6"/>
      <c r="Y1370" s="6"/>
      <c r="Z1370" s="6"/>
      <c r="AA1370" s="6" t="s">
        <v>148</v>
      </c>
    </row>
    <row r="1371" spans="1:27" s="4" customFormat="1" ht="51.95" customHeight="1">
      <c r="A1371" s="5">
        <v>0</v>
      </c>
      <c r="B1371" s="6" t="s">
        <v>7378</v>
      </c>
      <c r="C1371" s="13">
        <v>996</v>
      </c>
      <c r="D1371" s="8" t="s">
        <v>7379</v>
      </c>
      <c r="E1371" s="8" t="s">
        <v>7380</v>
      </c>
      <c r="F1371" s="8" t="s">
        <v>1409</v>
      </c>
      <c r="G1371" s="6" t="s">
        <v>58</v>
      </c>
      <c r="H1371" s="6" t="s">
        <v>84</v>
      </c>
      <c r="I1371" s="8" t="s">
        <v>1173</v>
      </c>
      <c r="J1371" s="9">
        <v>1</v>
      </c>
      <c r="K1371" s="9">
        <v>169</v>
      </c>
      <c r="L1371" s="9">
        <v>2022</v>
      </c>
      <c r="M1371" s="8" t="s">
        <v>7381</v>
      </c>
      <c r="N1371" s="8" t="s">
        <v>40</v>
      </c>
      <c r="O1371" s="8" t="s">
        <v>41</v>
      </c>
      <c r="P1371" s="6" t="s">
        <v>75</v>
      </c>
      <c r="Q1371" s="8" t="s">
        <v>1231</v>
      </c>
      <c r="R1371" s="10" t="s">
        <v>252</v>
      </c>
      <c r="S1371" s="11" t="s">
        <v>7382</v>
      </c>
      <c r="T1371" s="6"/>
      <c r="U1371" s="28" t="str">
        <f>HYPERLINK("https://media.infra-m.ru/1242/1242222/cover/1242222.jpg", "Обложка")</f>
        <v>Обложка</v>
      </c>
      <c r="V1371" s="28" t="str">
        <f>HYPERLINK("https://znanium.ru/catalog/product/1242222", "Ознакомиться")</f>
        <v>Ознакомиться</v>
      </c>
      <c r="W1371" s="8" t="s">
        <v>107</v>
      </c>
      <c r="X1371" s="6"/>
      <c r="Y1371" s="6"/>
      <c r="Z1371" s="6"/>
      <c r="AA1371" s="6" t="s">
        <v>353</v>
      </c>
    </row>
    <row r="1372" spans="1:27" s="4" customFormat="1" ht="51.95" customHeight="1">
      <c r="A1372" s="5">
        <v>0</v>
      </c>
      <c r="B1372" s="6" t="s">
        <v>7383</v>
      </c>
      <c r="C1372" s="7">
        <v>1553.9</v>
      </c>
      <c r="D1372" s="8" t="s">
        <v>7384</v>
      </c>
      <c r="E1372" s="8" t="s">
        <v>7385</v>
      </c>
      <c r="F1372" s="8" t="s">
        <v>7386</v>
      </c>
      <c r="G1372" s="6" t="s">
        <v>58</v>
      </c>
      <c r="H1372" s="6" t="s">
        <v>38</v>
      </c>
      <c r="I1372" s="8"/>
      <c r="J1372" s="9">
        <v>1</v>
      </c>
      <c r="K1372" s="9">
        <v>288</v>
      </c>
      <c r="L1372" s="9">
        <v>2022</v>
      </c>
      <c r="M1372" s="8" t="s">
        <v>7387</v>
      </c>
      <c r="N1372" s="8" t="s">
        <v>40</v>
      </c>
      <c r="O1372" s="8" t="s">
        <v>41</v>
      </c>
      <c r="P1372" s="6" t="s">
        <v>95</v>
      </c>
      <c r="Q1372" s="8" t="s">
        <v>157</v>
      </c>
      <c r="R1372" s="10" t="s">
        <v>122</v>
      </c>
      <c r="S1372" s="11"/>
      <c r="T1372" s="6"/>
      <c r="U1372" s="28" t="str">
        <f>HYPERLINK("https://media.infra-m.ru/2006/2006057/cover/2006057.jpg", "Обложка")</f>
        <v>Обложка</v>
      </c>
      <c r="V1372" s="28" t="str">
        <f>HYPERLINK("https://znanium.ru/catalog/product/1045807", "Ознакомиться")</f>
        <v>Ознакомиться</v>
      </c>
      <c r="W1372" s="8" t="s">
        <v>1322</v>
      </c>
      <c r="X1372" s="6"/>
      <c r="Y1372" s="6"/>
      <c r="Z1372" s="6"/>
      <c r="AA1372" s="6" t="s">
        <v>148</v>
      </c>
    </row>
    <row r="1373" spans="1:27" s="4" customFormat="1" ht="42" customHeight="1">
      <c r="A1373" s="5">
        <v>0</v>
      </c>
      <c r="B1373" s="6" t="s">
        <v>7388</v>
      </c>
      <c r="C1373" s="7">
        <v>1896</v>
      </c>
      <c r="D1373" s="8" t="s">
        <v>7389</v>
      </c>
      <c r="E1373" s="8" t="s">
        <v>7390</v>
      </c>
      <c r="F1373" s="8" t="s">
        <v>7391</v>
      </c>
      <c r="G1373" s="6" t="s">
        <v>37</v>
      </c>
      <c r="H1373" s="6" t="s">
        <v>38</v>
      </c>
      <c r="I1373" s="8"/>
      <c r="J1373" s="9">
        <v>1</v>
      </c>
      <c r="K1373" s="9">
        <v>352</v>
      </c>
      <c r="L1373" s="9">
        <v>2023</v>
      </c>
      <c r="M1373" s="8" t="s">
        <v>7392</v>
      </c>
      <c r="N1373" s="8" t="s">
        <v>40</v>
      </c>
      <c r="O1373" s="8" t="s">
        <v>41</v>
      </c>
      <c r="P1373" s="6" t="s">
        <v>2610</v>
      </c>
      <c r="Q1373" s="8" t="s">
        <v>76</v>
      </c>
      <c r="R1373" s="10" t="s">
        <v>3405</v>
      </c>
      <c r="S1373" s="11"/>
      <c r="T1373" s="6"/>
      <c r="U1373" s="28" t="str">
        <f>HYPERLINK("https://media.infra-m.ru/1905/1905975/cover/1905975.jpg", "Обложка")</f>
        <v>Обложка</v>
      </c>
      <c r="V1373" s="28" t="str">
        <f>HYPERLINK("https://znanium.ru/catalog/product/1905975", "Ознакомиться")</f>
        <v>Ознакомиться</v>
      </c>
      <c r="W1373" s="8" t="s">
        <v>114</v>
      </c>
      <c r="X1373" s="6"/>
      <c r="Y1373" s="6"/>
      <c r="Z1373" s="6"/>
      <c r="AA1373" s="6" t="s">
        <v>115</v>
      </c>
    </row>
    <row r="1374" spans="1:27" s="4" customFormat="1" ht="51.95" customHeight="1">
      <c r="A1374" s="5">
        <v>0</v>
      </c>
      <c r="B1374" s="6" t="s">
        <v>7393</v>
      </c>
      <c r="C1374" s="7">
        <v>3588</v>
      </c>
      <c r="D1374" s="8" t="s">
        <v>7394</v>
      </c>
      <c r="E1374" s="8" t="s">
        <v>7395</v>
      </c>
      <c r="F1374" s="8" t="s">
        <v>7396</v>
      </c>
      <c r="G1374" s="6" t="s">
        <v>58</v>
      </c>
      <c r="H1374" s="6" t="s">
        <v>38</v>
      </c>
      <c r="I1374" s="8"/>
      <c r="J1374" s="9">
        <v>1</v>
      </c>
      <c r="K1374" s="9">
        <v>1008</v>
      </c>
      <c r="L1374" s="9">
        <v>2022</v>
      </c>
      <c r="M1374" s="8" t="s">
        <v>7397</v>
      </c>
      <c r="N1374" s="8" t="s">
        <v>40</v>
      </c>
      <c r="O1374" s="8" t="s">
        <v>41</v>
      </c>
      <c r="P1374" s="6" t="s">
        <v>95</v>
      </c>
      <c r="Q1374" s="8" t="s">
        <v>76</v>
      </c>
      <c r="R1374" s="10" t="s">
        <v>234</v>
      </c>
      <c r="S1374" s="11" t="s">
        <v>7398</v>
      </c>
      <c r="T1374" s="6"/>
      <c r="U1374" s="28" t="str">
        <f>HYPERLINK("https://media.infra-m.ru/1862/1862396/cover/1862396.jpg", "Обложка")</f>
        <v>Обложка</v>
      </c>
      <c r="V1374" s="28" t="str">
        <f>HYPERLINK("https://znanium.ru/catalog/product/2117066", "Ознакомиться")</f>
        <v>Ознакомиться</v>
      </c>
      <c r="W1374" s="8" t="s">
        <v>114</v>
      </c>
      <c r="X1374" s="6"/>
      <c r="Y1374" s="6"/>
      <c r="Z1374" s="6"/>
      <c r="AA1374" s="6" t="s">
        <v>1219</v>
      </c>
    </row>
    <row r="1375" spans="1:27" s="4" customFormat="1" ht="51.95" customHeight="1">
      <c r="A1375" s="5">
        <v>0</v>
      </c>
      <c r="B1375" s="6" t="s">
        <v>7399</v>
      </c>
      <c r="C1375" s="7">
        <v>3660</v>
      </c>
      <c r="D1375" s="8" t="s">
        <v>7400</v>
      </c>
      <c r="E1375" s="8" t="s">
        <v>7401</v>
      </c>
      <c r="F1375" s="8" t="s">
        <v>7396</v>
      </c>
      <c r="G1375" s="6" t="s">
        <v>58</v>
      </c>
      <c r="H1375" s="6" t="s">
        <v>38</v>
      </c>
      <c r="I1375" s="8"/>
      <c r="J1375" s="9">
        <v>1</v>
      </c>
      <c r="K1375" s="9">
        <v>1072</v>
      </c>
      <c r="L1375" s="9">
        <v>2024</v>
      </c>
      <c r="M1375" s="8" t="s">
        <v>7402</v>
      </c>
      <c r="N1375" s="8" t="s">
        <v>40</v>
      </c>
      <c r="O1375" s="8" t="s">
        <v>41</v>
      </c>
      <c r="P1375" s="6" t="s">
        <v>95</v>
      </c>
      <c r="Q1375" s="8" t="s">
        <v>76</v>
      </c>
      <c r="R1375" s="10" t="s">
        <v>234</v>
      </c>
      <c r="S1375" s="11" t="s">
        <v>7398</v>
      </c>
      <c r="T1375" s="6"/>
      <c r="U1375" s="28" t="str">
        <f>HYPERLINK("https://media.infra-m.ru/2117/2117066/cover/2117066.jpg", "Обложка")</f>
        <v>Обложка</v>
      </c>
      <c r="V1375" s="28" t="str">
        <f>HYPERLINK("https://znanium.ru/catalog/product/2117066", "Ознакомиться")</f>
        <v>Ознакомиться</v>
      </c>
      <c r="W1375" s="8" t="s">
        <v>114</v>
      </c>
      <c r="X1375" s="6" t="s">
        <v>3280</v>
      </c>
      <c r="Y1375" s="6"/>
      <c r="Z1375" s="6"/>
      <c r="AA1375" s="6" t="s">
        <v>1759</v>
      </c>
    </row>
    <row r="1376" spans="1:27" s="4" customFormat="1" ht="42" customHeight="1">
      <c r="A1376" s="5">
        <v>0</v>
      </c>
      <c r="B1376" s="6" t="s">
        <v>7403</v>
      </c>
      <c r="C1376" s="7">
        <v>3360</v>
      </c>
      <c r="D1376" s="8" t="s">
        <v>7404</v>
      </c>
      <c r="E1376" s="8" t="s">
        <v>7405</v>
      </c>
      <c r="F1376" s="8" t="s">
        <v>7406</v>
      </c>
      <c r="G1376" s="6" t="s">
        <v>58</v>
      </c>
      <c r="H1376" s="6" t="s">
        <v>38</v>
      </c>
      <c r="I1376" s="8"/>
      <c r="J1376" s="9">
        <v>1</v>
      </c>
      <c r="K1376" s="9">
        <v>936</v>
      </c>
      <c r="L1376" s="9">
        <v>2024</v>
      </c>
      <c r="M1376" s="8" t="s">
        <v>7407</v>
      </c>
      <c r="N1376" s="8" t="s">
        <v>40</v>
      </c>
      <c r="O1376" s="8" t="s">
        <v>41</v>
      </c>
      <c r="P1376" s="6" t="s">
        <v>95</v>
      </c>
      <c r="Q1376" s="8" t="s">
        <v>76</v>
      </c>
      <c r="R1376" s="10" t="s">
        <v>3405</v>
      </c>
      <c r="S1376" s="11"/>
      <c r="T1376" s="6"/>
      <c r="U1376" s="28" t="str">
        <f>HYPERLINK("https://media.infra-m.ru/2130/2130186/cover/2130186.jpg", "Обложка")</f>
        <v>Обложка</v>
      </c>
      <c r="V1376" s="28" t="str">
        <f>HYPERLINK("https://znanium.ru/catalog/product/2130186", "Ознакомиться")</f>
        <v>Ознакомиться</v>
      </c>
      <c r="W1376" s="8" t="s">
        <v>4142</v>
      </c>
      <c r="X1376" s="6"/>
      <c r="Y1376" s="6"/>
      <c r="Z1376" s="6"/>
      <c r="AA1376" s="6" t="s">
        <v>2485</v>
      </c>
    </row>
    <row r="1377" spans="1:27" s="4" customFormat="1" ht="42" customHeight="1">
      <c r="A1377" s="5">
        <v>0</v>
      </c>
      <c r="B1377" s="6" t="s">
        <v>7408</v>
      </c>
      <c r="C1377" s="7">
        <v>1061.9000000000001</v>
      </c>
      <c r="D1377" s="8" t="s">
        <v>7409</v>
      </c>
      <c r="E1377" s="8" t="s">
        <v>7410</v>
      </c>
      <c r="F1377" s="8" t="s">
        <v>7411</v>
      </c>
      <c r="G1377" s="6" t="s">
        <v>58</v>
      </c>
      <c r="H1377" s="6" t="s">
        <v>650</v>
      </c>
      <c r="I1377" s="8" t="s">
        <v>1560</v>
      </c>
      <c r="J1377" s="9">
        <v>1</v>
      </c>
      <c r="K1377" s="9">
        <v>197</v>
      </c>
      <c r="L1377" s="9">
        <v>2023</v>
      </c>
      <c r="M1377" s="8" t="s">
        <v>7412</v>
      </c>
      <c r="N1377" s="8" t="s">
        <v>40</v>
      </c>
      <c r="O1377" s="8" t="s">
        <v>41</v>
      </c>
      <c r="P1377" s="6" t="s">
        <v>42</v>
      </c>
      <c r="Q1377" s="8" t="s">
        <v>43</v>
      </c>
      <c r="R1377" s="10" t="s">
        <v>308</v>
      </c>
      <c r="S1377" s="11"/>
      <c r="T1377" s="6"/>
      <c r="U1377" s="28" t="str">
        <f>HYPERLINK("https://media.infra-m.ru/1896/1896422/cover/1896422.jpg", "Обложка")</f>
        <v>Обложка</v>
      </c>
      <c r="V1377" s="28" t="str">
        <f>HYPERLINK("https://znanium.ru/catalog/product/1215353", "Ознакомиться")</f>
        <v>Ознакомиться</v>
      </c>
      <c r="W1377" s="8" t="s">
        <v>1399</v>
      </c>
      <c r="X1377" s="6"/>
      <c r="Y1377" s="6"/>
      <c r="Z1377" s="6"/>
      <c r="AA1377" s="6" t="s">
        <v>750</v>
      </c>
    </row>
    <row r="1378" spans="1:27" s="4" customFormat="1" ht="51.95" customHeight="1">
      <c r="A1378" s="5">
        <v>0</v>
      </c>
      <c r="B1378" s="6" t="s">
        <v>7413</v>
      </c>
      <c r="C1378" s="7">
        <v>1788</v>
      </c>
      <c r="D1378" s="8" t="s">
        <v>7414</v>
      </c>
      <c r="E1378" s="8" t="s">
        <v>7415</v>
      </c>
      <c r="F1378" s="8" t="s">
        <v>7416</v>
      </c>
      <c r="G1378" s="6" t="s">
        <v>37</v>
      </c>
      <c r="H1378" s="6" t="s">
        <v>84</v>
      </c>
      <c r="I1378" s="8" t="s">
        <v>85</v>
      </c>
      <c r="J1378" s="9">
        <v>1</v>
      </c>
      <c r="K1378" s="9">
        <v>392</v>
      </c>
      <c r="L1378" s="9">
        <v>2021</v>
      </c>
      <c r="M1378" s="8" t="s">
        <v>7417</v>
      </c>
      <c r="N1378" s="8" t="s">
        <v>40</v>
      </c>
      <c r="O1378" s="8" t="s">
        <v>41</v>
      </c>
      <c r="P1378" s="6" t="s">
        <v>841</v>
      </c>
      <c r="Q1378" s="8" t="s">
        <v>43</v>
      </c>
      <c r="R1378" s="10" t="s">
        <v>7418</v>
      </c>
      <c r="S1378" s="11"/>
      <c r="T1378" s="6"/>
      <c r="U1378" s="28" t="str">
        <f>HYPERLINK("https://media.infra-m.ru/1248/1248685/cover/1248685.jpg", "Обложка")</f>
        <v>Обложка</v>
      </c>
      <c r="V1378" s="28" t="str">
        <f>HYPERLINK("https://znanium.ru/catalog/product/1840656", "Ознакомиться")</f>
        <v>Ознакомиться</v>
      </c>
      <c r="W1378" s="8" t="s">
        <v>45</v>
      </c>
      <c r="X1378" s="6"/>
      <c r="Y1378" s="6"/>
      <c r="Z1378" s="6"/>
      <c r="AA1378" s="6" t="s">
        <v>115</v>
      </c>
    </row>
    <row r="1379" spans="1:27" s="4" customFormat="1" ht="42" customHeight="1">
      <c r="A1379" s="5">
        <v>0</v>
      </c>
      <c r="B1379" s="6" t="s">
        <v>7419</v>
      </c>
      <c r="C1379" s="7">
        <v>1380</v>
      </c>
      <c r="D1379" s="8" t="s">
        <v>7420</v>
      </c>
      <c r="E1379" s="8" t="s">
        <v>7421</v>
      </c>
      <c r="F1379" s="8" t="s">
        <v>7422</v>
      </c>
      <c r="G1379" s="6" t="s">
        <v>37</v>
      </c>
      <c r="H1379" s="6" t="s">
        <v>84</v>
      </c>
      <c r="I1379" s="8" t="s">
        <v>120</v>
      </c>
      <c r="J1379" s="9">
        <v>1</v>
      </c>
      <c r="K1379" s="9">
        <v>241</v>
      </c>
      <c r="L1379" s="9">
        <v>2024</v>
      </c>
      <c r="M1379" s="8" t="s">
        <v>7423</v>
      </c>
      <c r="N1379" s="8" t="s">
        <v>40</v>
      </c>
      <c r="O1379" s="8" t="s">
        <v>41</v>
      </c>
      <c r="P1379" s="6" t="s">
        <v>75</v>
      </c>
      <c r="Q1379" s="8" t="s">
        <v>76</v>
      </c>
      <c r="R1379" s="10" t="s">
        <v>113</v>
      </c>
      <c r="S1379" s="11"/>
      <c r="T1379" s="6"/>
      <c r="U1379" s="28" t="str">
        <f>HYPERLINK("https://media.infra-m.ru/2132/2132158/cover/2132158.jpg", "Обложка")</f>
        <v>Обложка</v>
      </c>
      <c r="V1379" s="28" t="str">
        <f>HYPERLINK("https://znanium.ru/catalog/product/2132158", "Ознакомиться")</f>
        <v>Ознакомиться</v>
      </c>
      <c r="W1379" s="8"/>
      <c r="X1379" s="6"/>
      <c r="Y1379" s="6"/>
      <c r="Z1379" s="6"/>
      <c r="AA1379" s="6" t="s">
        <v>417</v>
      </c>
    </row>
    <row r="1380" spans="1:27" s="4" customFormat="1" ht="42" customHeight="1">
      <c r="A1380" s="5">
        <v>0</v>
      </c>
      <c r="B1380" s="6" t="s">
        <v>7424</v>
      </c>
      <c r="C1380" s="7">
        <v>3720</v>
      </c>
      <c r="D1380" s="8" t="s">
        <v>7425</v>
      </c>
      <c r="E1380" s="8" t="s">
        <v>7426</v>
      </c>
      <c r="F1380" s="8" t="s">
        <v>7427</v>
      </c>
      <c r="G1380" s="6" t="s">
        <v>58</v>
      </c>
      <c r="H1380" s="6" t="s">
        <v>38</v>
      </c>
      <c r="I1380" s="8"/>
      <c r="J1380" s="9">
        <v>1</v>
      </c>
      <c r="K1380" s="9">
        <v>888</v>
      </c>
      <c r="L1380" s="9">
        <v>2024</v>
      </c>
      <c r="M1380" s="8" t="s">
        <v>7428</v>
      </c>
      <c r="N1380" s="8" t="s">
        <v>40</v>
      </c>
      <c r="O1380" s="8" t="s">
        <v>41</v>
      </c>
      <c r="P1380" s="6" t="s">
        <v>95</v>
      </c>
      <c r="Q1380" s="8" t="s">
        <v>515</v>
      </c>
      <c r="R1380" s="10" t="s">
        <v>113</v>
      </c>
      <c r="S1380" s="11"/>
      <c r="T1380" s="6"/>
      <c r="U1380" s="28" t="str">
        <f>HYPERLINK("https://media.infra-m.ru/2122/2122506/cover/2122506.jpg", "Обложка")</f>
        <v>Обложка</v>
      </c>
      <c r="V1380" s="28" t="str">
        <f>HYPERLINK("https://znanium.ru/catalog/product/2122506", "Ознакомиться")</f>
        <v>Ознакомиться</v>
      </c>
      <c r="W1380" s="8" t="s">
        <v>124</v>
      </c>
      <c r="X1380" s="6"/>
      <c r="Y1380" s="6"/>
      <c r="Z1380" s="6"/>
      <c r="AA1380" s="6" t="s">
        <v>353</v>
      </c>
    </row>
    <row r="1381" spans="1:27" s="4" customFormat="1" ht="51.95" customHeight="1">
      <c r="A1381" s="5">
        <v>0</v>
      </c>
      <c r="B1381" s="6" t="s">
        <v>7429</v>
      </c>
      <c r="C1381" s="7">
        <v>2339.9</v>
      </c>
      <c r="D1381" s="8" t="s">
        <v>7430</v>
      </c>
      <c r="E1381" s="8" t="s">
        <v>7431</v>
      </c>
      <c r="F1381" s="8" t="s">
        <v>7432</v>
      </c>
      <c r="G1381" s="6" t="s">
        <v>37</v>
      </c>
      <c r="H1381" s="6" t="s">
        <v>38</v>
      </c>
      <c r="I1381" s="8"/>
      <c r="J1381" s="9">
        <v>1</v>
      </c>
      <c r="K1381" s="9">
        <v>752</v>
      </c>
      <c r="L1381" s="9">
        <v>2019</v>
      </c>
      <c r="M1381" s="8" t="s">
        <v>7433</v>
      </c>
      <c r="N1381" s="8" t="s">
        <v>40</v>
      </c>
      <c r="O1381" s="8" t="s">
        <v>41</v>
      </c>
      <c r="P1381" s="6" t="s">
        <v>95</v>
      </c>
      <c r="Q1381" s="8" t="s">
        <v>76</v>
      </c>
      <c r="R1381" s="10" t="s">
        <v>234</v>
      </c>
      <c r="S1381" s="11" t="s">
        <v>7434</v>
      </c>
      <c r="T1381" s="6"/>
      <c r="U1381" s="28" t="str">
        <f>HYPERLINK("https://media.infra-m.ru/1022/1022469/cover/1022469.jpg", "Обложка")</f>
        <v>Обложка</v>
      </c>
      <c r="V1381" s="28" t="str">
        <f>HYPERLINK("https://znanium.ru/catalog/product/2118043", "Ознакомиться")</f>
        <v>Ознакомиться</v>
      </c>
      <c r="W1381" s="8" t="s">
        <v>4295</v>
      </c>
      <c r="X1381" s="6"/>
      <c r="Y1381" s="6"/>
      <c r="Z1381" s="6"/>
      <c r="AA1381" s="6" t="s">
        <v>2467</v>
      </c>
    </row>
    <row r="1382" spans="1:27" s="4" customFormat="1" ht="51.95" customHeight="1">
      <c r="A1382" s="5">
        <v>0</v>
      </c>
      <c r="B1382" s="6" t="s">
        <v>7435</v>
      </c>
      <c r="C1382" s="7">
        <v>3240</v>
      </c>
      <c r="D1382" s="8" t="s">
        <v>7436</v>
      </c>
      <c r="E1382" s="8" t="s">
        <v>7437</v>
      </c>
      <c r="F1382" s="8" t="s">
        <v>7432</v>
      </c>
      <c r="G1382" s="6" t="s">
        <v>58</v>
      </c>
      <c r="H1382" s="6" t="s">
        <v>38</v>
      </c>
      <c r="I1382" s="8"/>
      <c r="J1382" s="9">
        <v>1</v>
      </c>
      <c r="K1382" s="9">
        <v>784</v>
      </c>
      <c r="L1382" s="9">
        <v>2024</v>
      </c>
      <c r="M1382" s="8" t="s">
        <v>7438</v>
      </c>
      <c r="N1382" s="8" t="s">
        <v>40</v>
      </c>
      <c r="O1382" s="8" t="s">
        <v>41</v>
      </c>
      <c r="P1382" s="6" t="s">
        <v>95</v>
      </c>
      <c r="Q1382" s="8" t="s">
        <v>76</v>
      </c>
      <c r="R1382" s="10" t="s">
        <v>234</v>
      </c>
      <c r="S1382" s="11" t="s">
        <v>7434</v>
      </c>
      <c r="T1382" s="6"/>
      <c r="U1382" s="28" t="str">
        <f>HYPERLINK("https://media.infra-m.ru/2118/2118043/cover/2118043.jpg", "Обложка")</f>
        <v>Обложка</v>
      </c>
      <c r="V1382" s="28" t="str">
        <f>HYPERLINK("https://znanium.ru/catalog/product/2118043", "Ознакомиться")</f>
        <v>Ознакомиться</v>
      </c>
      <c r="W1382" s="8" t="s">
        <v>4295</v>
      </c>
      <c r="X1382" s="6"/>
      <c r="Y1382" s="6"/>
      <c r="Z1382" s="6"/>
      <c r="AA1382" s="6" t="s">
        <v>1129</v>
      </c>
    </row>
    <row r="1383" spans="1:27" s="4" customFormat="1" ht="42" customHeight="1">
      <c r="A1383" s="5">
        <v>0</v>
      </c>
      <c r="B1383" s="6" t="s">
        <v>7439</v>
      </c>
      <c r="C1383" s="13">
        <v>107.9</v>
      </c>
      <c r="D1383" s="8" t="s">
        <v>7440</v>
      </c>
      <c r="E1383" s="8" t="s">
        <v>7431</v>
      </c>
      <c r="F1383" s="8"/>
      <c r="G1383" s="6" t="s">
        <v>26</v>
      </c>
      <c r="H1383" s="6" t="s">
        <v>52</v>
      </c>
      <c r="I1383" s="8" t="s">
        <v>225</v>
      </c>
      <c r="J1383" s="9">
        <v>80</v>
      </c>
      <c r="K1383" s="9">
        <v>158</v>
      </c>
      <c r="L1383" s="9">
        <v>2016</v>
      </c>
      <c r="M1383" s="8" t="s">
        <v>7441</v>
      </c>
      <c r="N1383" s="8" t="s">
        <v>40</v>
      </c>
      <c r="O1383" s="8" t="s">
        <v>41</v>
      </c>
      <c r="P1383" s="6" t="s">
        <v>227</v>
      </c>
      <c r="Q1383" s="8" t="s">
        <v>76</v>
      </c>
      <c r="R1383" s="10" t="s">
        <v>3957</v>
      </c>
      <c r="S1383" s="11"/>
      <c r="T1383" s="6"/>
      <c r="U1383" s="28" t="str">
        <f>HYPERLINK("https://media.infra-m.ru/0522/0522352/cover/522352.jpg", "Обложка")</f>
        <v>Обложка</v>
      </c>
      <c r="V1383" s="28" t="str">
        <f>HYPERLINK("https://znanium.ru/catalog/product/522352", "Ознакомиться")</f>
        <v>Ознакомиться</v>
      </c>
      <c r="W1383" s="8"/>
      <c r="X1383" s="6"/>
      <c r="Y1383" s="6"/>
      <c r="Z1383" s="6"/>
      <c r="AA1383" s="6" t="s">
        <v>228</v>
      </c>
    </row>
    <row r="1384" spans="1:27" s="4" customFormat="1" ht="42" customHeight="1">
      <c r="A1384" s="5">
        <v>0</v>
      </c>
      <c r="B1384" s="6" t="s">
        <v>7442</v>
      </c>
      <c r="C1384" s="7">
        <v>1152</v>
      </c>
      <c r="D1384" s="8" t="s">
        <v>7443</v>
      </c>
      <c r="E1384" s="8" t="s">
        <v>7444</v>
      </c>
      <c r="F1384" s="8" t="s">
        <v>7445</v>
      </c>
      <c r="G1384" s="6" t="s">
        <v>37</v>
      </c>
      <c r="H1384" s="6" t="s">
        <v>38</v>
      </c>
      <c r="I1384" s="8"/>
      <c r="J1384" s="9">
        <v>1</v>
      </c>
      <c r="K1384" s="9">
        <v>208</v>
      </c>
      <c r="L1384" s="9">
        <v>2024</v>
      </c>
      <c r="M1384" s="8" t="s">
        <v>7446</v>
      </c>
      <c r="N1384" s="8" t="s">
        <v>40</v>
      </c>
      <c r="O1384" s="8" t="s">
        <v>41</v>
      </c>
      <c r="P1384" s="6" t="s">
        <v>42</v>
      </c>
      <c r="Q1384" s="8" t="s">
        <v>43</v>
      </c>
      <c r="R1384" s="10" t="s">
        <v>113</v>
      </c>
      <c r="S1384" s="11"/>
      <c r="T1384" s="6"/>
      <c r="U1384" s="28" t="str">
        <f>HYPERLINK("https://media.infra-m.ru/2082/2082651/cover/2082651.jpg", "Обложка")</f>
        <v>Обложка</v>
      </c>
      <c r="V1384" s="28" t="str">
        <f>HYPERLINK("https://znanium.ru/catalog/product/2082651", "Ознакомиться")</f>
        <v>Ознакомиться</v>
      </c>
      <c r="W1384" s="8" t="s">
        <v>114</v>
      </c>
      <c r="X1384" s="6"/>
      <c r="Y1384" s="6"/>
      <c r="Z1384" s="6"/>
      <c r="AA1384" s="6" t="s">
        <v>88</v>
      </c>
    </row>
    <row r="1385" spans="1:27" s="4" customFormat="1" ht="42" customHeight="1">
      <c r="A1385" s="5">
        <v>0</v>
      </c>
      <c r="B1385" s="6" t="s">
        <v>7447</v>
      </c>
      <c r="C1385" s="7">
        <v>1500</v>
      </c>
      <c r="D1385" s="8" t="s">
        <v>7448</v>
      </c>
      <c r="E1385" s="8" t="s">
        <v>7449</v>
      </c>
      <c r="F1385" s="8" t="s">
        <v>7450</v>
      </c>
      <c r="G1385" s="6" t="s">
        <v>58</v>
      </c>
      <c r="H1385" s="6" t="s">
        <v>38</v>
      </c>
      <c r="I1385" s="8"/>
      <c r="J1385" s="9">
        <v>1</v>
      </c>
      <c r="K1385" s="9">
        <v>328</v>
      </c>
      <c r="L1385" s="9">
        <v>2021</v>
      </c>
      <c r="M1385" s="8" t="s">
        <v>7451</v>
      </c>
      <c r="N1385" s="8" t="s">
        <v>40</v>
      </c>
      <c r="O1385" s="8" t="s">
        <v>41</v>
      </c>
      <c r="P1385" s="6" t="s">
        <v>42</v>
      </c>
      <c r="Q1385" s="8" t="s">
        <v>43</v>
      </c>
      <c r="R1385" s="10" t="s">
        <v>1376</v>
      </c>
      <c r="S1385" s="11"/>
      <c r="T1385" s="6"/>
      <c r="U1385" s="28" t="str">
        <f>HYPERLINK("https://media.infra-m.ru/1118/1118470/cover/1118470.jpg", "Обложка")</f>
        <v>Обложка</v>
      </c>
      <c r="V1385" s="28" t="str">
        <f>HYPERLINK("https://znanium.ru/catalog/product/1118470", "Ознакомиться")</f>
        <v>Ознакомиться</v>
      </c>
      <c r="W1385" s="8" t="s">
        <v>114</v>
      </c>
      <c r="X1385" s="6"/>
      <c r="Y1385" s="6"/>
      <c r="Z1385" s="6"/>
      <c r="AA1385" s="6" t="s">
        <v>62</v>
      </c>
    </row>
    <row r="1386" spans="1:27" s="4" customFormat="1" ht="51.95" customHeight="1">
      <c r="A1386" s="5">
        <v>0</v>
      </c>
      <c r="B1386" s="6" t="s">
        <v>7452</v>
      </c>
      <c r="C1386" s="7">
        <v>1788</v>
      </c>
      <c r="D1386" s="8" t="s">
        <v>7453</v>
      </c>
      <c r="E1386" s="8" t="s">
        <v>7454</v>
      </c>
      <c r="F1386" s="8" t="s">
        <v>7455</v>
      </c>
      <c r="G1386" s="6" t="s">
        <v>37</v>
      </c>
      <c r="H1386" s="6" t="s">
        <v>84</v>
      </c>
      <c r="I1386" s="8" t="s">
        <v>320</v>
      </c>
      <c r="J1386" s="9">
        <v>1</v>
      </c>
      <c r="K1386" s="9">
        <v>331</v>
      </c>
      <c r="L1386" s="9">
        <v>2022</v>
      </c>
      <c r="M1386" s="8" t="s">
        <v>7456</v>
      </c>
      <c r="N1386" s="8" t="s">
        <v>40</v>
      </c>
      <c r="O1386" s="8" t="s">
        <v>41</v>
      </c>
      <c r="P1386" s="6" t="s">
        <v>75</v>
      </c>
      <c r="Q1386" s="8" t="s">
        <v>157</v>
      </c>
      <c r="R1386" s="10" t="s">
        <v>7457</v>
      </c>
      <c r="S1386" s="11" t="s">
        <v>7458</v>
      </c>
      <c r="T1386" s="6"/>
      <c r="U1386" s="28" t="str">
        <f>HYPERLINK("https://media.infra-m.ru/1862/1862859/cover/1862859.jpg", "Обложка")</f>
        <v>Обложка</v>
      </c>
      <c r="V1386" s="28" t="str">
        <f>HYPERLINK("https://znanium.ru/catalog/product/1862859", "Ознакомиться")</f>
        <v>Ознакомиться</v>
      </c>
      <c r="W1386" s="8" t="s">
        <v>7459</v>
      </c>
      <c r="X1386" s="6"/>
      <c r="Y1386" s="6"/>
      <c r="Z1386" s="6"/>
      <c r="AA1386" s="6" t="s">
        <v>79</v>
      </c>
    </row>
    <row r="1387" spans="1:27" s="4" customFormat="1" ht="42" customHeight="1">
      <c r="A1387" s="5">
        <v>0</v>
      </c>
      <c r="B1387" s="6" t="s">
        <v>7460</v>
      </c>
      <c r="C1387" s="7">
        <v>2165.9</v>
      </c>
      <c r="D1387" s="8" t="s">
        <v>7461</v>
      </c>
      <c r="E1387" s="8" t="s">
        <v>7462</v>
      </c>
      <c r="F1387" s="8" t="s">
        <v>7463</v>
      </c>
      <c r="G1387" s="6" t="s">
        <v>58</v>
      </c>
      <c r="H1387" s="6" t="s">
        <v>38</v>
      </c>
      <c r="I1387" s="8"/>
      <c r="J1387" s="9">
        <v>1</v>
      </c>
      <c r="K1387" s="9">
        <v>400</v>
      </c>
      <c r="L1387" s="9">
        <v>2023</v>
      </c>
      <c r="M1387" s="8" t="s">
        <v>7464</v>
      </c>
      <c r="N1387" s="8" t="s">
        <v>40</v>
      </c>
      <c r="O1387" s="8" t="s">
        <v>41</v>
      </c>
      <c r="P1387" s="6" t="s">
        <v>42</v>
      </c>
      <c r="Q1387" s="8" t="s">
        <v>43</v>
      </c>
      <c r="R1387" s="10" t="s">
        <v>1376</v>
      </c>
      <c r="S1387" s="11"/>
      <c r="T1387" s="6"/>
      <c r="U1387" s="28" t="str">
        <f>HYPERLINK("https://media.infra-m.ru/2023/2023198/cover/2023198.jpg", "Обложка")</f>
        <v>Обложка</v>
      </c>
      <c r="V1387" s="28" t="str">
        <f>HYPERLINK("https://znanium.ru/catalog/product/1177510", "Ознакомиться")</f>
        <v>Ознакомиться</v>
      </c>
      <c r="W1387" s="8" t="s">
        <v>7465</v>
      </c>
      <c r="X1387" s="6"/>
      <c r="Y1387" s="6"/>
      <c r="Z1387" s="6"/>
      <c r="AA1387" s="6" t="s">
        <v>46</v>
      </c>
    </row>
    <row r="1388" spans="1:27" s="4" customFormat="1" ht="42" customHeight="1">
      <c r="A1388" s="5">
        <v>0</v>
      </c>
      <c r="B1388" s="6" t="s">
        <v>7466</v>
      </c>
      <c r="C1388" s="7">
        <v>1236</v>
      </c>
      <c r="D1388" s="8" t="s">
        <v>7467</v>
      </c>
      <c r="E1388" s="8" t="s">
        <v>7468</v>
      </c>
      <c r="F1388" s="8" t="s">
        <v>7469</v>
      </c>
      <c r="G1388" s="6" t="s">
        <v>51</v>
      </c>
      <c r="H1388" s="6" t="s">
        <v>84</v>
      </c>
      <c r="I1388" s="8" t="s">
        <v>250</v>
      </c>
      <c r="J1388" s="9">
        <v>1</v>
      </c>
      <c r="K1388" s="9">
        <v>302</v>
      </c>
      <c r="L1388" s="9">
        <v>2019</v>
      </c>
      <c r="M1388" s="8" t="s">
        <v>7470</v>
      </c>
      <c r="N1388" s="8" t="s">
        <v>40</v>
      </c>
      <c r="O1388" s="8" t="s">
        <v>41</v>
      </c>
      <c r="P1388" s="6" t="s">
        <v>42</v>
      </c>
      <c r="Q1388" s="8" t="s">
        <v>43</v>
      </c>
      <c r="R1388" s="10" t="s">
        <v>308</v>
      </c>
      <c r="S1388" s="11"/>
      <c r="T1388" s="6"/>
      <c r="U1388" s="28" t="str">
        <f>HYPERLINK("https://media.infra-m.ru/0992/0992815/cover/992815.jpg", "Обложка")</f>
        <v>Обложка</v>
      </c>
      <c r="V1388" s="28" t="str">
        <f>HYPERLINK("https://znanium.ru/catalog/product/992815", "Ознакомиться")</f>
        <v>Ознакомиться</v>
      </c>
      <c r="W1388" s="8" t="s">
        <v>3146</v>
      </c>
      <c r="X1388" s="6"/>
      <c r="Y1388" s="6"/>
      <c r="Z1388" s="6"/>
      <c r="AA1388" s="6" t="s">
        <v>431</v>
      </c>
    </row>
    <row r="1389" spans="1:27" s="4" customFormat="1" ht="42" customHeight="1">
      <c r="A1389" s="5">
        <v>0</v>
      </c>
      <c r="B1389" s="6" t="s">
        <v>7471</v>
      </c>
      <c r="C1389" s="13">
        <v>600</v>
      </c>
      <c r="D1389" s="8" t="s">
        <v>7472</v>
      </c>
      <c r="E1389" s="8" t="s">
        <v>7473</v>
      </c>
      <c r="F1389" s="8" t="s">
        <v>7474</v>
      </c>
      <c r="G1389" s="6" t="s">
        <v>51</v>
      </c>
      <c r="H1389" s="6" t="s">
        <v>84</v>
      </c>
      <c r="I1389" s="8" t="s">
        <v>250</v>
      </c>
      <c r="J1389" s="9">
        <v>1</v>
      </c>
      <c r="K1389" s="9">
        <v>103</v>
      </c>
      <c r="L1389" s="9">
        <v>2024</v>
      </c>
      <c r="M1389" s="8" t="s">
        <v>7475</v>
      </c>
      <c r="N1389" s="8" t="s">
        <v>40</v>
      </c>
      <c r="O1389" s="8" t="s">
        <v>41</v>
      </c>
      <c r="P1389" s="6" t="s">
        <v>42</v>
      </c>
      <c r="Q1389" s="8" t="s">
        <v>43</v>
      </c>
      <c r="R1389" s="10" t="s">
        <v>113</v>
      </c>
      <c r="S1389" s="11"/>
      <c r="T1389" s="6"/>
      <c r="U1389" s="28" t="str">
        <f>HYPERLINK("https://media.infra-m.ru/2151/2151398/cover/2151398.jpg", "Обложка")</f>
        <v>Обложка</v>
      </c>
      <c r="V1389" s="28" t="str">
        <f>HYPERLINK("https://znanium.ru/catalog/product/2151398", "Ознакомиться")</f>
        <v>Ознакомиться</v>
      </c>
      <c r="W1389" s="8" t="s">
        <v>1052</v>
      </c>
      <c r="X1389" s="6"/>
      <c r="Y1389" s="6"/>
      <c r="Z1389" s="6"/>
      <c r="AA1389" s="6" t="s">
        <v>148</v>
      </c>
    </row>
    <row r="1390" spans="1:27" s="4" customFormat="1" ht="44.1" customHeight="1">
      <c r="A1390" s="5">
        <v>0</v>
      </c>
      <c r="B1390" s="6" t="s">
        <v>7476</v>
      </c>
      <c r="C1390" s="13">
        <v>880.8</v>
      </c>
      <c r="D1390" s="8" t="s">
        <v>7477</v>
      </c>
      <c r="E1390" s="8" t="s">
        <v>7478</v>
      </c>
      <c r="F1390" s="8" t="s">
        <v>7033</v>
      </c>
      <c r="G1390" s="6" t="s">
        <v>51</v>
      </c>
      <c r="H1390" s="6" t="s">
        <v>38</v>
      </c>
      <c r="I1390" s="8"/>
      <c r="J1390" s="9">
        <v>1</v>
      </c>
      <c r="K1390" s="9">
        <v>160</v>
      </c>
      <c r="L1390" s="9">
        <v>2023</v>
      </c>
      <c r="M1390" s="8" t="s">
        <v>7479</v>
      </c>
      <c r="N1390" s="8" t="s">
        <v>40</v>
      </c>
      <c r="O1390" s="8" t="s">
        <v>41</v>
      </c>
      <c r="P1390" s="6" t="s">
        <v>42</v>
      </c>
      <c r="Q1390" s="8" t="s">
        <v>300</v>
      </c>
      <c r="R1390" s="10" t="s">
        <v>308</v>
      </c>
      <c r="S1390" s="11"/>
      <c r="T1390" s="6"/>
      <c r="U1390" s="28" t="str">
        <f>HYPERLINK("https://media.infra-m.ru/2064/2064564/cover/2064564.jpg", "Обложка")</f>
        <v>Обложка</v>
      </c>
      <c r="V1390" s="28" t="str">
        <f>HYPERLINK("https://znanium.ru/catalog/product/1861152", "Ознакомиться")</f>
        <v>Ознакомиться</v>
      </c>
      <c r="W1390" s="8" t="s">
        <v>194</v>
      </c>
      <c r="X1390" s="6"/>
      <c r="Y1390" s="6"/>
      <c r="Z1390" s="6"/>
      <c r="AA1390" s="6" t="s">
        <v>431</v>
      </c>
    </row>
    <row r="1391" spans="1:27" s="4" customFormat="1" ht="42" customHeight="1">
      <c r="A1391" s="5">
        <v>0</v>
      </c>
      <c r="B1391" s="6" t="s">
        <v>7480</v>
      </c>
      <c r="C1391" s="7">
        <v>2574</v>
      </c>
      <c r="D1391" s="8" t="s">
        <v>7481</v>
      </c>
      <c r="E1391" s="8" t="s">
        <v>7482</v>
      </c>
      <c r="F1391" s="8" t="s">
        <v>829</v>
      </c>
      <c r="G1391" s="6" t="s">
        <v>58</v>
      </c>
      <c r="H1391" s="6" t="s">
        <v>38</v>
      </c>
      <c r="I1391" s="8"/>
      <c r="J1391" s="9">
        <v>1</v>
      </c>
      <c r="K1391" s="9">
        <v>224</v>
      </c>
      <c r="L1391" s="9">
        <v>2022</v>
      </c>
      <c r="M1391" s="8" t="s">
        <v>7483</v>
      </c>
      <c r="N1391" s="8" t="s">
        <v>40</v>
      </c>
      <c r="O1391" s="8" t="s">
        <v>41</v>
      </c>
      <c r="P1391" s="6" t="s">
        <v>42</v>
      </c>
      <c r="Q1391" s="8" t="s">
        <v>43</v>
      </c>
      <c r="R1391" s="10" t="s">
        <v>7484</v>
      </c>
      <c r="S1391" s="11"/>
      <c r="T1391" s="6"/>
      <c r="U1391" s="28" t="str">
        <f>HYPERLINK("https://media.infra-m.ru/1911/1911596/cover/1911596.jpg", "Обложка")</f>
        <v>Обложка</v>
      </c>
      <c r="V1391" s="12"/>
      <c r="W1391" s="8"/>
      <c r="X1391" s="6"/>
      <c r="Y1391" s="6"/>
      <c r="Z1391" s="6"/>
      <c r="AA1391" s="6" t="s">
        <v>353</v>
      </c>
    </row>
    <row r="1392" spans="1:27" s="4" customFormat="1" ht="42" customHeight="1">
      <c r="A1392" s="5">
        <v>0</v>
      </c>
      <c r="B1392" s="6" t="s">
        <v>7485</v>
      </c>
      <c r="C1392" s="13">
        <v>684</v>
      </c>
      <c r="D1392" s="8" t="s">
        <v>7486</v>
      </c>
      <c r="E1392" s="8" t="s">
        <v>7487</v>
      </c>
      <c r="F1392" s="8" t="s">
        <v>1816</v>
      </c>
      <c r="G1392" s="6" t="s">
        <v>37</v>
      </c>
      <c r="H1392" s="6" t="s">
        <v>38</v>
      </c>
      <c r="I1392" s="8"/>
      <c r="J1392" s="9">
        <v>1</v>
      </c>
      <c r="K1392" s="9">
        <v>128</v>
      </c>
      <c r="L1392" s="9">
        <v>2022</v>
      </c>
      <c r="M1392" s="8" t="s">
        <v>7488</v>
      </c>
      <c r="N1392" s="8" t="s">
        <v>40</v>
      </c>
      <c r="O1392" s="8" t="s">
        <v>41</v>
      </c>
      <c r="P1392" s="6" t="s">
        <v>42</v>
      </c>
      <c r="Q1392" s="8" t="s">
        <v>43</v>
      </c>
      <c r="R1392" s="10" t="s">
        <v>350</v>
      </c>
      <c r="S1392" s="11"/>
      <c r="T1392" s="6"/>
      <c r="U1392" s="28" t="str">
        <f>HYPERLINK("https://media.infra-m.ru/1816/1816924/cover/1816924.jpg", "Обложка")</f>
        <v>Обложка</v>
      </c>
      <c r="V1392" s="28" t="str">
        <f>HYPERLINK("https://znanium.ru/catalog/product/1816924", "Ознакомиться")</f>
        <v>Ознакомиться</v>
      </c>
      <c r="W1392" s="8" t="s">
        <v>1393</v>
      </c>
      <c r="X1392" s="6"/>
      <c r="Y1392" s="6"/>
      <c r="Z1392" s="6"/>
      <c r="AA1392" s="6" t="s">
        <v>148</v>
      </c>
    </row>
    <row r="1393" spans="1:27" s="4" customFormat="1" ht="42" customHeight="1">
      <c r="A1393" s="5">
        <v>0</v>
      </c>
      <c r="B1393" s="6" t="s">
        <v>7489</v>
      </c>
      <c r="C1393" s="7">
        <v>1956</v>
      </c>
      <c r="D1393" s="8" t="s">
        <v>7490</v>
      </c>
      <c r="E1393" s="8" t="s">
        <v>7491</v>
      </c>
      <c r="F1393" s="8" t="s">
        <v>7492</v>
      </c>
      <c r="G1393" s="6" t="s">
        <v>37</v>
      </c>
      <c r="H1393" s="6" t="s">
        <v>52</v>
      </c>
      <c r="I1393" s="8" t="s">
        <v>1641</v>
      </c>
      <c r="J1393" s="9">
        <v>1</v>
      </c>
      <c r="K1393" s="9">
        <v>388</v>
      </c>
      <c r="L1393" s="9">
        <v>2022</v>
      </c>
      <c r="M1393" s="8" t="s">
        <v>7493</v>
      </c>
      <c r="N1393" s="8" t="s">
        <v>40</v>
      </c>
      <c r="O1393" s="8" t="s">
        <v>41</v>
      </c>
      <c r="P1393" s="6" t="s">
        <v>42</v>
      </c>
      <c r="Q1393" s="8" t="s">
        <v>43</v>
      </c>
      <c r="R1393" s="10" t="s">
        <v>87</v>
      </c>
      <c r="S1393" s="11"/>
      <c r="T1393" s="6"/>
      <c r="U1393" s="28" t="str">
        <f>HYPERLINK("https://media.infra-m.ru/1874/1874069/cover/1874069.jpg", "Обложка")</f>
        <v>Обложка</v>
      </c>
      <c r="V1393" s="12"/>
      <c r="W1393" s="8" t="s">
        <v>757</v>
      </c>
      <c r="X1393" s="6"/>
      <c r="Y1393" s="6"/>
      <c r="Z1393" s="6"/>
      <c r="AA1393" s="6" t="s">
        <v>115</v>
      </c>
    </row>
    <row r="1394" spans="1:27" s="4" customFormat="1" ht="51.95" customHeight="1">
      <c r="A1394" s="5">
        <v>0</v>
      </c>
      <c r="B1394" s="6" t="s">
        <v>7494</v>
      </c>
      <c r="C1394" s="7">
        <v>1356</v>
      </c>
      <c r="D1394" s="8" t="s">
        <v>7495</v>
      </c>
      <c r="E1394" s="8" t="s">
        <v>7496</v>
      </c>
      <c r="F1394" s="8" t="s">
        <v>7497</v>
      </c>
      <c r="G1394" s="6" t="s">
        <v>58</v>
      </c>
      <c r="H1394" s="6" t="s">
        <v>38</v>
      </c>
      <c r="I1394" s="8"/>
      <c r="J1394" s="9">
        <v>1</v>
      </c>
      <c r="K1394" s="9">
        <v>240</v>
      </c>
      <c r="L1394" s="9">
        <v>2024</v>
      </c>
      <c r="M1394" s="8" t="s">
        <v>7498</v>
      </c>
      <c r="N1394" s="8" t="s">
        <v>40</v>
      </c>
      <c r="O1394" s="8" t="s">
        <v>41</v>
      </c>
      <c r="P1394" s="6" t="s">
        <v>42</v>
      </c>
      <c r="Q1394" s="8" t="s">
        <v>43</v>
      </c>
      <c r="R1394" s="10" t="s">
        <v>7499</v>
      </c>
      <c r="S1394" s="11"/>
      <c r="T1394" s="6"/>
      <c r="U1394" s="28" t="str">
        <f>HYPERLINK("https://media.infra-m.ru/2144/2144779/cover/2144779.jpg", "Обложка")</f>
        <v>Обложка</v>
      </c>
      <c r="V1394" s="28" t="str">
        <f>HYPERLINK("https://znanium.ru/catalog/product/2144779", "Ознакомиться")</f>
        <v>Ознакомиться</v>
      </c>
      <c r="W1394" s="8" t="s">
        <v>7500</v>
      </c>
      <c r="X1394" s="6" t="s">
        <v>518</v>
      </c>
      <c r="Y1394" s="6"/>
      <c r="Z1394" s="6"/>
      <c r="AA1394" s="6" t="s">
        <v>100</v>
      </c>
    </row>
    <row r="1395" spans="1:27" s="4" customFormat="1" ht="51.95" customHeight="1">
      <c r="A1395" s="5">
        <v>0</v>
      </c>
      <c r="B1395" s="6" t="s">
        <v>7501</v>
      </c>
      <c r="C1395" s="7">
        <v>1260</v>
      </c>
      <c r="D1395" s="8" t="s">
        <v>7502</v>
      </c>
      <c r="E1395" s="8" t="s">
        <v>7503</v>
      </c>
      <c r="F1395" s="8" t="s">
        <v>7504</v>
      </c>
      <c r="G1395" s="6" t="s">
        <v>37</v>
      </c>
      <c r="H1395" s="6" t="s">
        <v>1284</v>
      </c>
      <c r="I1395" s="8"/>
      <c r="J1395" s="9">
        <v>1</v>
      </c>
      <c r="K1395" s="9">
        <v>292</v>
      </c>
      <c r="L1395" s="9">
        <v>2021</v>
      </c>
      <c r="M1395" s="8" t="s">
        <v>7505</v>
      </c>
      <c r="N1395" s="8" t="s">
        <v>40</v>
      </c>
      <c r="O1395" s="8" t="s">
        <v>41</v>
      </c>
      <c r="P1395" s="6" t="s">
        <v>95</v>
      </c>
      <c r="Q1395" s="8" t="s">
        <v>76</v>
      </c>
      <c r="R1395" s="10" t="s">
        <v>7506</v>
      </c>
      <c r="S1395" s="11"/>
      <c r="T1395" s="6"/>
      <c r="U1395" s="28" t="str">
        <f>HYPERLINK("https://media.infra-m.ru/1168/1168666/cover/1168666.jpg", "Обложка")</f>
        <v>Обложка</v>
      </c>
      <c r="V1395" s="28" t="str">
        <f>HYPERLINK("https://znanium.ru/catalog/product/1168666", "Ознакомиться")</f>
        <v>Ознакомиться</v>
      </c>
      <c r="W1395" s="8" t="s">
        <v>7507</v>
      </c>
      <c r="X1395" s="6"/>
      <c r="Y1395" s="6"/>
      <c r="Z1395" s="6"/>
      <c r="AA1395" s="6" t="s">
        <v>148</v>
      </c>
    </row>
    <row r="1396" spans="1:27" s="4" customFormat="1" ht="51.95" customHeight="1">
      <c r="A1396" s="5">
        <v>0</v>
      </c>
      <c r="B1396" s="6" t="s">
        <v>7508</v>
      </c>
      <c r="C1396" s="7">
        <v>1240.8</v>
      </c>
      <c r="D1396" s="8" t="s">
        <v>7509</v>
      </c>
      <c r="E1396" s="8" t="s">
        <v>7510</v>
      </c>
      <c r="F1396" s="8" t="s">
        <v>7511</v>
      </c>
      <c r="G1396" s="6" t="s">
        <v>58</v>
      </c>
      <c r="H1396" s="6" t="s">
        <v>52</v>
      </c>
      <c r="I1396" s="8" t="s">
        <v>320</v>
      </c>
      <c r="J1396" s="9">
        <v>1</v>
      </c>
      <c r="K1396" s="9">
        <v>224</v>
      </c>
      <c r="L1396" s="9">
        <v>2024</v>
      </c>
      <c r="M1396" s="8" t="s">
        <v>7512</v>
      </c>
      <c r="N1396" s="8" t="s">
        <v>40</v>
      </c>
      <c r="O1396" s="8" t="s">
        <v>41</v>
      </c>
      <c r="P1396" s="6" t="s">
        <v>75</v>
      </c>
      <c r="Q1396" s="8" t="s">
        <v>157</v>
      </c>
      <c r="R1396" s="10" t="s">
        <v>7513</v>
      </c>
      <c r="S1396" s="11"/>
      <c r="T1396" s="6"/>
      <c r="U1396" s="28" t="str">
        <f>HYPERLINK("https://media.infra-m.ru/1981/1981698/cover/1981698.jpg", "Обложка")</f>
        <v>Обложка</v>
      </c>
      <c r="V1396" s="28" t="str">
        <f>HYPERLINK("https://znanium.ru/catalog/product/959953", "Ознакомиться")</f>
        <v>Ознакомиться</v>
      </c>
      <c r="W1396" s="8" t="s">
        <v>7514</v>
      </c>
      <c r="X1396" s="6"/>
      <c r="Y1396" s="6"/>
      <c r="Z1396" s="6"/>
      <c r="AA1396" s="6" t="s">
        <v>293</v>
      </c>
    </row>
    <row r="1397" spans="1:27" s="4" customFormat="1" ht="51.95" customHeight="1">
      <c r="A1397" s="5">
        <v>0</v>
      </c>
      <c r="B1397" s="6" t="s">
        <v>7515</v>
      </c>
      <c r="C1397" s="7">
        <v>1236</v>
      </c>
      <c r="D1397" s="8" t="s">
        <v>7516</v>
      </c>
      <c r="E1397" s="8" t="s">
        <v>7517</v>
      </c>
      <c r="F1397" s="8" t="s">
        <v>2164</v>
      </c>
      <c r="G1397" s="6" t="s">
        <v>51</v>
      </c>
      <c r="H1397" s="6" t="s">
        <v>38</v>
      </c>
      <c r="I1397" s="8" t="s">
        <v>1127</v>
      </c>
      <c r="J1397" s="9">
        <v>1</v>
      </c>
      <c r="K1397" s="9">
        <v>256</v>
      </c>
      <c r="L1397" s="9">
        <v>2023</v>
      </c>
      <c r="M1397" s="8" t="s">
        <v>7518</v>
      </c>
      <c r="N1397" s="8" t="s">
        <v>40</v>
      </c>
      <c r="O1397" s="8" t="s">
        <v>41</v>
      </c>
      <c r="P1397" s="6" t="s">
        <v>556</v>
      </c>
      <c r="Q1397" s="8" t="s">
        <v>157</v>
      </c>
      <c r="R1397" s="10" t="s">
        <v>7519</v>
      </c>
      <c r="S1397" s="11"/>
      <c r="T1397" s="6"/>
      <c r="U1397" s="28" t="str">
        <f>HYPERLINK("https://media.infra-m.ru/2009/2009624/cover/2009624.jpg", "Обложка")</f>
        <v>Обложка</v>
      </c>
      <c r="V1397" s="28" t="str">
        <f>HYPERLINK("https://znanium.ru/catalog/product/1912892", "Ознакомиться")</f>
        <v>Ознакомиться</v>
      </c>
      <c r="W1397" s="8" t="s">
        <v>78</v>
      </c>
      <c r="X1397" s="6"/>
      <c r="Y1397" s="6"/>
      <c r="Z1397" s="6"/>
      <c r="AA1397" s="6" t="s">
        <v>2166</v>
      </c>
    </row>
    <row r="1398" spans="1:27" s="4" customFormat="1" ht="42" customHeight="1">
      <c r="A1398" s="5">
        <v>0</v>
      </c>
      <c r="B1398" s="6" t="s">
        <v>7520</v>
      </c>
      <c r="C1398" s="7">
        <v>1296</v>
      </c>
      <c r="D1398" s="8" t="s">
        <v>7521</v>
      </c>
      <c r="E1398" s="8" t="s">
        <v>7522</v>
      </c>
      <c r="F1398" s="8" t="s">
        <v>7523</v>
      </c>
      <c r="G1398" s="6" t="s">
        <v>37</v>
      </c>
      <c r="H1398" s="6" t="s">
        <v>38</v>
      </c>
      <c r="I1398" s="8"/>
      <c r="J1398" s="9">
        <v>1</v>
      </c>
      <c r="K1398" s="9">
        <v>240</v>
      </c>
      <c r="L1398" s="9">
        <v>2023</v>
      </c>
      <c r="M1398" s="8" t="s">
        <v>7524</v>
      </c>
      <c r="N1398" s="8" t="s">
        <v>40</v>
      </c>
      <c r="O1398" s="8" t="s">
        <v>41</v>
      </c>
      <c r="P1398" s="6" t="s">
        <v>42</v>
      </c>
      <c r="Q1398" s="8" t="s">
        <v>43</v>
      </c>
      <c r="R1398" s="10" t="s">
        <v>69</v>
      </c>
      <c r="S1398" s="11"/>
      <c r="T1398" s="6"/>
      <c r="U1398" s="28" t="str">
        <f>HYPERLINK("https://media.infra-m.ru/1975/1975145/cover/1975145.jpg", "Обложка")</f>
        <v>Обложка</v>
      </c>
      <c r="V1398" s="28" t="str">
        <f>HYPERLINK("https://znanium.ru/catalog/product/1975145", "Ознакомиться")</f>
        <v>Ознакомиться</v>
      </c>
      <c r="W1398" s="8" t="s">
        <v>78</v>
      </c>
      <c r="X1398" s="6"/>
      <c r="Y1398" s="6"/>
      <c r="Z1398" s="6"/>
      <c r="AA1398" s="6" t="s">
        <v>88</v>
      </c>
    </row>
    <row r="1399" spans="1:27" s="4" customFormat="1" ht="42" customHeight="1">
      <c r="A1399" s="5">
        <v>0</v>
      </c>
      <c r="B1399" s="6" t="s">
        <v>7525</v>
      </c>
      <c r="C1399" s="13">
        <v>972</v>
      </c>
      <c r="D1399" s="8" t="s">
        <v>7526</v>
      </c>
      <c r="E1399" s="8" t="s">
        <v>7527</v>
      </c>
      <c r="F1399" s="8" t="s">
        <v>7528</v>
      </c>
      <c r="G1399" s="6" t="s">
        <v>58</v>
      </c>
      <c r="H1399" s="6" t="s">
        <v>38</v>
      </c>
      <c r="I1399" s="8"/>
      <c r="J1399" s="9">
        <v>1</v>
      </c>
      <c r="K1399" s="9">
        <v>160</v>
      </c>
      <c r="L1399" s="9">
        <v>2023</v>
      </c>
      <c r="M1399" s="8" t="s">
        <v>7529</v>
      </c>
      <c r="N1399" s="8" t="s">
        <v>40</v>
      </c>
      <c r="O1399" s="8" t="s">
        <v>41</v>
      </c>
      <c r="P1399" s="6" t="s">
        <v>42</v>
      </c>
      <c r="Q1399" s="8" t="s">
        <v>43</v>
      </c>
      <c r="R1399" s="10" t="s">
        <v>1088</v>
      </c>
      <c r="S1399" s="11"/>
      <c r="T1399" s="6"/>
      <c r="U1399" s="28" t="str">
        <f>HYPERLINK("https://media.infra-m.ru/1958/1958345/cover/1958345.jpg", "Обложка")</f>
        <v>Обложка</v>
      </c>
      <c r="V1399" s="28" t="str">
        <f>HYPERLINK("https://znanium.ru/catalog/product/1958345", "Ознакомиться")</f>
        <v>Ознакомиться</v>
      </c>
      <c r="W1399" s="8" t="s">
        <v>124</v>
      </c>
      <c r="X1399" s="6"/>
      <c r="Y1399" s="6"/>
      <c r="Z1399" s="6"/>
      <c r="AA1399" s="6" t="s">
        <v>137</v>
      </c>
    </row>
    <row r="1400" spans="1:27" s="4" customFormat="1" ht="33" customHeight="1">
      <c r="A1400" s="5">
        <v>0</v>
      </c>
      <c r="B1400" s="6" t="s">
        <v>7530</v>
      </c>
      <c r="C1400" s="13">
        <v>948</v>
      </c>
      <c r="D1400" s="8" t="s">
        <v>7531</v>
      </c>
      <c r="E1400" s="8" t="s">
        <v>7532</v>
      </c>
      <c r="F1400" s="8" t="s">
        <v>7528</v>
      </c>
      <c r="G1400" s="6" t="s">
        <v>51</v>
      </c>
      <c r="H1400" s="6" t="s">
        <v>38</v>
      </c>
      <c r="I1400" s="8"/>
      <c r="J1400" s="9">
        <v>1</v>
      </c>
      <c r="K1400" s="9">
        <v>176</v>
      </c>
      <c r="L1400" s="9">
        <v>2023</v>
      </c>
      <c r="M1400" s="8" t="s">
        <v>7533</v>
      </c>
      <c r="N1400" s="8" t="s">
        <v>40</v>
      </c>
      <c r="O1400" s="8" t="s">
        <v>41</v>
      </c>
      <c r="P1400" s="6" t="s">
        <v>42</v>
      </c>
      <c r="Q1400" s="8" t="s">
        <v>43</v>
      </c>
      <c r="R1400" s="10" t="s">
        <v>1088</v>
      </c>
      <c r="S1400" s="11"/>
      <c r="T1400" s="6"/>
      <c r="U1400" s="12"/>
      <c r="V1400" s="28" t="str">
        <f>HYPERLINK("https://znanium.ru/catalog/product/1958345", "Ознакомиться")</f>
        <v>Ознакомиться</v>
      </c>
      <c r="W1400" s="8" t="s">
        <v>124</v>
      </c>
      <c r="X1400" s="6"/>
      <c r="Y1400" s="6"/>
      <c r="Z1400" s="6"/>
      <c r="AA1400" s="6" t="s">
        <v>431</v>
      </c>
    </row>
    <row r="1401" spans="1:27" s="4" customFormat="1" ht="42" customHeight="1">
      <c r="A1401" s="5">
        <v>0</v>
      </c>
      <c r="B1401" s="6" t="s">
        <v>7534</v>
      </c>
      <c r="C1401" s="13">
        <v>780</v>
      </c>
      <c r="D1401" s="8" t="s">
        <v>7535</v>
      </c>
      <c r="E1401" s="8" t="s">
        <v>7536</v>
      </c>
      <c r="F1401" s="8" t="s">
        <v>7537</v>
      </c>
      <c r="G1401" s="6" t="s">
        <v>51</v>
      </c>
      <c r="H1401" s="6" t="s">
        <v>84</v>
      </c>
      <c r="I1401" s="8" t="s">
        <v>250</v>
      </c>
      <c r="J1401" s="9">
        <v>1</v>
      </c>
      <c r="K1401" s="9">
        <v>177</v>
      </c>
      <c r="L1401" s="9">
        <v>2021</v>
      </c>
      <c r="M1401" s="8" t="s">
        <v>7538</v>
      </c>
      <c r="N1401" s="8" t="s">
        <v>40</v>
      </c>
      <c r="O1401" s="8" t="s">
        <v>41</v>
      </c>
      <c r="P1401" s="6" t="s">
        <v>42</v>
      </c>
      <c r="Q1401" s="8" t="s">
        <v>43</v>
      </c>
      <c r="R1401" s="10" t="s">
        <v>308</v>
      </c>
      <c r="S1401" s="11"/>
      <c r="T1401" s="6"/>
      <c r="U1401" s="28" t="str">
        <f>HYPERLINK("https://media.infra-m.ru/1209/1209849/cover/1209849.jpg", "Обложка")</f>
        <v>Обложка</v>
      </c>
      <c r="V1401" s="28" t="str">
        <f>HYPERLINK("https://znanium.ru/catalog/product/1209849", "Ознакомиться")</f>
        <v>Ознакомиться</v>
      </c>
      <c r="W1401" s="8" t="s">
        <v>7539</v>
      </c>
      <c r="X1401" s="6"/>
      <c r="Y1401" s="6"/>
      <c r="Z1401" s="6"/>
      <c r="AA1401" s="6" t="s">
        <v>46</v>
      </c>
    </row>
    <row r="1402" spans="1:27" s="4" customFormat="1" ht="44.1" customHeight="1">
      <c r="A1402" s="5">
        <v>0</v>
      </c>
      <c r="B1402" s="6" t="s">
        <v>7540</v>
      </c>
      <c r="C1402" s="7">
        <v>1025.9000000000001</v>
      </c>
      <c r="D1402" s="8" t="s">
        <v>7541</v>
      </c>
      <c r="E1402" s="8" t="s">
        <v>7542</v>
      </c>
      <c r="F1402" s="8" t="s">
        <v>7543</v>
      </c>
      <c r="G1402" s="6" t="s">
        <v>51</v>
      </c>
      <c r="H1402" s="6" t="s">
        <v>38</v>
      </c>
      <c r="I1402" s="8"/>
      <c r="J1402" s="9">
        <v>1</v>
      </c>
      <c r="K1402" s="9">
        <v>224</v>
      </c>
      <c r="L1402" s="9">
        <v>2022</v>
      </c>
      <c r="M1402" s="8" t="s">
        <v>7544</v>
      </c>
      <c r="N1402" s="8" t="s">
        <v>40</v>
      </c>
      <c r="O1402" s="8" t="s">
        <v>41</v>
      </c>
      <c r="P1402" s="6" t="s">
        <v>42</v>
      </c>
      <c r="Q1402" s="8" t="s">
        <v>300</v>
      </c>
      <c r="R1402" s="10" t="s">
        <v>1088</v>
      </c>
      <c r="S1402" s="11"/>
      <c r="T1402" s="6"/>
      <c r="U1402" s="12"/>
      <c r="V1402" s="28" t="str">
        <f>HYPERLINK("https://znanium.ru/catalog/product/1425536", "Ознакомиться")</f>
        <v>Ознакомиться</v>
      </c>
      <c r="W1402" s="8" t="s">
        <v>114</v>
      </c>
      <c r="X1402" s="6"/>
      <c r="Y1402" s="6"/>
      <c r="Z1402" s="6"/>
      <c r="AA1402" s="6" t="s">
        <v>88</v>
      </c>
    </row>
    <row r="1403" spans="1:27" s="4" customFormat="1" ht="51.95" customHeight="1">
      <c r="A1403" s="5">
        <v>0</v>
      </c>
      <c r="B1403" s="6" t="s">
        <v>7545</v>
      </c>
      <c r="C1403" s="7">
        <v>2112</v>
      </c>
      <c r="D1403" s="8" t="s">
        <v>7546</v>
      </c>
      <c r="E1403" s="8" t="s">
        <v>7517</v>
      </c>
      <c r="F1403" s="8" t="s">
        <v>4105</v>
      </c>
      <c r="G1403" s="6" t="s">
        <v>58</v>
      </c>
      <c r="H1403" s="6" t="s">
        <v>52</v>
      </c>
      <c r="I1403" s="8"/>
      <c r="J1403" s="9">
        <v>1</v>
      </c>
      <c r="K1403" s="9">
        <v>602</v>
      </c>
      <c r="L1403" s="9">
        <v>2017</v>
      </c>
      <c r="M1403" s="8" t="s">
        <v>7547</v>
      </c>
      <c r="N1403" s="8" t="s">
        <v>40</v>
      </c>
      <c r="O1403" s="8" t="s">
        <v>41</v>
      </c>
      <c r="P1403" s="6" t="s">
        <v>95</v>
      </c>
      <c r="Q1403" s="8" t="s">
        <v>157</v>
      </c>
      <c r="R1403" s="10" t="s">
        <v>7506</v>
      </c>
      <c r="S1403" s="11"/>
      <c r="T1403" s="6"/>
      <c r="U1403" s="28" t="str">
        <f>HYPERLINK("https://media.infra-m.ru/0766/0766742/cover/766742.jpg", "Обложка")</f>
        <v>Обложка</v>
      </c>
      <c r="V1403" s="28" t="str">
        <f>HYPERLINK("https://znanium.ru/catalog/product/993657", "Ознакомиться")</f>
        <v>Ознакомиться</v>
      </c>
      <c r="W1403" s="8"/>
      <c r="X1403" s="6"/>
      <c r="Y1403" s="6"/>
      <c r="Z1403" s="6"/>
      <c r="AA1403" s="6" t="s">
        <v>148</v>
      </c>
    </row>
    <row r="1404" spans="1:27" s="4" customFormat="1" ht="51.95" customHeight="1">
      <c r="A1404" s="5">
        <v>0</v>
      </c>
      <c r="B1404" s="6" t="s">
        <v>7548</v>
      </c>
      <c r="C1404" s="7">
        <v>2388</v>
      </c>
      <c r="D1404" s="8" t="s">
        <v>7549</v>
      </c>
      <c r="E1404" s="8" t="s">
        <v>7517</v>
      </c>
      <c r="F1404" s="8" t="s">
        <v>918</v>
      </c>
      <c r="G1404" s="6" t="s">
        <v>58</v>
      </c>
      <c r="H1404" s="6" t="s">
        <v>52</v>
      </c>
      <c r="I1404" s="8" t="s">
        <v>2209</v>
      </c>
      <c r="J1404" s="9">
        <v>1</v>
      </c>
      <c r="K1404" s="9">
        <v>424</v>
      </c>
      <c r="L1404" s="9">
        <v>2024</v>
      </c>
      <c r="M1404" s="8" t="s">
        <v>7550</v>
      </c>
      <c r="N1404" s="8" t="s">
        <v>40</v>
      </c>
      <c r="O1404" s="8" t="s">
        <v>41</v>
      </c>
      <c r="P1404" s="6" t="s">
        <v>95</v>
      </c>
      <c r="Q1404" s="8" t="s">
        <v>515</v>
      </c>
      <c r="R1404" s="10" t="s">
        <v>7551</v>
      </c>
      <c r="S1404" s="11"/>
      <c r="T1404" s="6"/>
      <c r="U1404" s="12"/>
      <c r="V1404" s="12"/>
      <c r="W1404" s="8" t="s">
        <v>920</v>
      </c>
      <c r="X1404" s="6"/>
      <c r="Y1404" s="6"/>
      <c r="Z1404" s="6"/>
      <c r="AA1404" s="6" t="s">
        <v>353</v>
      </c>
    </row>
    <row r="1405" spans="1:27" s="4" customFormat="1" ht="51.95" customHeight="1">
      <c r="A1405" s="5">
        <v>0</v>
      </c>
      <c r="B1405" s="6" t="s">
        <v>7552</v>
      </c>
      <c r="C1405" s="7">
        <v>1032</v>
      </c>
      <c r="D1405" s="8" t="s">
        <v>7553</v>
      </c>
      <c r="E1405" s="8" t="s">
        <v>7517</v>
      </c>
      <c r="F1405" s="8" t="s">
        <v>7528</v>
      </c>
      <c r="G1405" s="6" t="s">
        <v>37</v>
      </c>
      <c r="H1405" s="6" t="s">
        <v>38</v>
      </c>
      <c r="I1405" s="8"/>
      <c r="J1405" s="9">
        <v>1</v>
      </c>
      <c r="K1405" s="9">
        <v>192</v>
      </c>
      <c r="L1405" s="9">
        <v>2023</v>
      </c>
      <c r="M1405" s="8" t="s">
        <v>7554</v>
      </c>
      <c r="N1405" s="8" t="s">
        <v>40</v>
      </c>
      <c r="O1405" s="8" t="s">
        <v>41</v>
      </c>
      <c r="P1405" s="6" t="s">
        <v>95</v>
      </c>
      <c r="Q1405" s="8" t="s">
        <v>76</v>
      </c>
      <c r="R1405" s="10" t="s">
        <v>7555</v>
      </c>
      <c r="S1405" s="11"/>
      <c r="T1405" s="6"/>
      <c r="U1405" s="28" t="str">
        <f>HYPERLINK("https://media.infra-m.ru/1917/1917602/cover/1917602.jpg", "Обложка")</f>
        <v>Обложка</v>
      </c>
      <c r="V1405" s="28" t="str">
        <f>HYPERLINK("https://znanium.ru/catalog/product/1917602", "Ознакомиться")</f>
        <v>Ознакомиться</v>
      </c>
      <c r="W1405" s="8" t="s">
        <v>124</v>
      </c>
      <c r="X1405" s="6"/>
      <c r="Y1405" s="6"/>
      <c r="Z1405" s="6"/>
      <c r="AA1405" s="6" t="s">
        <v>115</v>
      </c>
    </row>
    <row r="1406" spans="1:27" s="4" customFormat="1" ht="51.95" customHeight="1">
      <c r="A1406" s="5">
        <v>0</v>
      </c>
      <c r="B1406" s="6" t="s">
        <v>7556</v>
      </c>
      <c r="C1406" s="7">
        <v>1536</v>
      </c>
      <c r="D1406" s="8" t="s">
        <v>7557</v>
      </c>
      <c r="E1406" s="8" t="s">
        <v>7558</v>
      </c>
      <c r="F1406" s="8" t="s">
        <v>7559</v>
      </c>
      <c r="G1406" s="6" t="s">
        <v>37</v>
      </c>
      <c r="H1406" s="6" t="s">
        <v>84</v>
      </c>
      <c r="I1406" s="8" t="s">
        <v>184</v>
      </c>
      <c r="J1406" s="9">
        <v>1</v>
      </c>
      <c r="K1406" s="9">
        <v>336</v>
      </c>
      <c r="L1406" s="9">
        <v>2022</v>
      </c>
      <c r="M1406" s="8" t="s">
        <v>7560</v>
      </c>
      <c r="N1406" s="8" t="s">
        <v>40</v>
      </c>
      <c r="O1406" s="8" t="s">
        <v>41</v>
      </c>
      <c r="P1406" s="6" t="s">
        <v>95</v>
      </c>
      <c r="Q1406" s="8" t="s">
        <v>76</v>
      </c>
      <c r="R1406" s="10" t="s">
        <v>7555</v>
      </c>
      <c r="S1406" s="11" t="s">
        <v>7561</v>
      </c>
      <c r="T1406" s="6"/>
      <c r="U1406" s="28" t="str">
        <f>HYPERLINK("https://media.infra-m.ru/1844/1844270/cover/1844270.jpg", "Обложка")</f>
        <v>Обложка</v>
      </c>
      <c r="V1406" s="28" t="str">
        <f>HYPERLINK("https://znanium.ru/catalog/product/1844270", "Ознакомиться")</f>
        <v>Ознакомиться</v>
      </c>
      <c r="W1406" s="8" t="s">
        <v>7562</v>
      </c>
      <c r="X1406" s="6"/>
      <c r="Y1406" s="6"/>
      <c r="Z1406" s="6"/>
      <c r="AA1406" s="6" t="s">
        <v>758</v>
      </c>
    </row>
    <row r="1407" spans="1:27" s="4" customFormat="1" ht="51.95" customHeight="1">
      <c r="A1407" s="5">
        <v>0</v>
      </c>
      <c r="B1407" s="6" t="s">
        <v>7563</v>
      </c>
      <c r="C1407" s="7">
        <v>2692.8</v>
      </c>
      <c r="D1407" s="8" t="s">
        <v>7564</v>
      </c>
      <c r="E1407" s="8" t="s">
        <v>7558</v>
      </c>
      <c r="F1407" s="8" t="s">
        <v>2164</v>
      </c>
      <c r="G1407" s="6" t="s">
        <v>58</v>
      </c>
      <c r="H1407" s="6" t="s">
        <v>38</v>
      </c>
      <c r="I1407" s="8"/>
      <c r="J1407" s="9">
        <v>1</v>
      </c>
      <c r="K1407" s="9">
        <v>848</v>
      </c>
      <c r="L1407" s="9">
        <v>2024</v>
      </c>
      <c r="M1407" s="8" t="s">
        <v>7565</v>
      </c>
      <c r="N1407" s="8" t="s">
        <v>40</v>
      </c>
      <c r="O1407" s="8" t="s">
        <v>41</v>
      </c>
      <c r="P1407" s="6" t="s">
        <v>95</v>
      </c>
      <c r="Q1407" s="8" t="s">
        <v>76</v>
      </c>
      <c r="R1407" s="10" t="s">
        <v>7555</v>
      </c>
      <c r="S1407" s="11" t="s">
        <v>883</v>
      </c>
      <c r="T1407" s="6"/>
      <c r="U1407" s="28" t="str">
        <f>HYPERLINK("https://media.infra-m.ru/2114/2114321/cover/2114321.jpg", "Обложка")</f>
        <v>Обложка</v>
      </c>
      <c r="V1407" s="28" t="str">
        <f>HYPERLINK("https://znanium.ru/catalog/product/1038336", "Ознакомиться")</f>
        <v>Ознакомиться</v>
      </c>
      <c r="W1407" s="8" t="s">
        <v>78</v>
      </c>
      <c r="X1407" s="6"/>
      <c r="Y1407" s="6"/>
      <c r="Z1407" s="6"/>
      <c r="AA1407" s="6" t="s">
        <v>2604</v>
      </c>
    </row>
    <row r="1408" spans="1:27" s="4" customFormat="1" ht="51.95" customHeight="1">
      <c r="A1408" s="5">
        <v>0</v>
      </c>
      <c r="B1408" s="6" t="s">
        <v>7566</v>
      </c>
      <c r="C1408" s="7">
        <v>2668.8</v>
      </c>
      <c r="D1408" s="8" t="s">
        <v>7567</v>
      </c>
      <c r="E1408" s="8" t="s">
        <v>7517</v>
      </c>
      <c r="F1408" s="8" t="s">
        <v>6951</v>
      </c>
      <c r="G1408" s="6" t="s">
        <v>37</v>
      </c>
      <c r="H1408" s="6" t="s">
        <v>84</v>
      </c>
      <c r="I1408" s="8" t="s">
        <v>368</v>
      </c>
      <c r="J1408" s="9">
        <v>1</v>
      </c>
      <c r="K1408" s="9">
        <v>474</v>
      </c>
      <c r="L1408" s="9">
        <v>2024</v>
      </c>
      <c r="M1408" s="8" t="s">
        <v>7568</v>
      </c>
      <c r="N1408" s="8" t="s">
        <v>40</v>
      </c>
      <c r="O1408" s="8" t="s">
        <v>41</v>
      </c>
      <c r="P1408" s="6" t="s">
        <v>75</v>
      </c>
      <c r="Q1408" s="8" t="s">
        <v>157</v>
      </c>
      <c r="R1408" s="10" t="s">
        <v>496</v>
      </c>
      <c r="S1408" s="11" t="s">
        <v>7569</v>
      </c>
      <c r="T1408" s="6"/>
      <c r="U1408" s="28" t="str">
        <f>HYPERLINK("https://media.infra-m.ru/2152/2152115/cover/2152115.jpg", "Обложка")</f>
        <v>Обложка</v>
      </c>
      <c r="V1408" s="28" t="str">
        <f>HYPERLINK("https://znanium.ru/catalog/product/1846712", "Ознакомиться")</f>
        <v>Ознакомиться</v>
      </c>
      <c r="W1408" s="8" t="s">
        <v>344</v>
      </c>
      <c r="X1408" s="6"/>
      <c r="Y1408" s="6"/>
      <c r="Z1408" s="6"/>
      <c r="AA1408" s="6" t="s">
        <v>79</v>
      </c>
    </row>
    <row r="1409" spans="1:27" s="4" customFormat="1" ht="51.95" customHeight="1">
      <c r="A1409" s="5">
        <v>0</v>
      </c>
      <c r="B1409" s="6" t="s">
        <v>7570</v>
      </c>
      <c r="C1409" s="13">
        <v>724.8</v>
      </c>
      <c r="D1409" s="8" t="s">
        <v>7571</v>
      </c>
      <c r="E1409" s="8" t="s">
        <v>7572</v>
      </c>
      <c r="F1409" s="8" t="s">
        <v>7406</v>
      </c>
      <c r="G1409" s="6" t="s">
        <v>58</v>
      </c>
      <c r="H1409" s="6" t="s">
        <v>38</v>
      </c>
      <c r="I1409" s="8"/>
      <c r="J1409" s="9">
        <v>1</v>
      </c>
      <c r="K1409" s="9">
        <v>128</v>
      </c>
      <c r="L1409" s="9">
        <v>2024</v>
      </c>
      <c r="M1409" s="8" t="s">
        <v>7573</v>
      </c>
      <c r="N1409" s="8" t="s">
        <v>40</v>
      </c>
      <c r="O1409" s="8" t="s">
        <v>41</v>
      </c>
      <c r="P1409" s="6" t="s">
        <v>42</v>
      </c>
      <c r="Q1409" s="8" t="s">
        <v>43</v>
      </c>
      <c r="R1409" s="10" t="s">
        <v>6008</v>
      </c>
      <c r="S1409" s="11"/>
      <c r="T1409" s="6"/>
      <c r="U1409" s="28" t="str">
        <f>HYPERLINK("https://media.infra-m.ru/2143/2143333/cover/2143333.jpg", "Обложка")</f>
        <v>Обложка</v>
      </c>
      <c r="V1409" s="28" t="str">
        <f>HYPERLINK("https://znanium.ru/catalog/product/1178770", "Ознакомиться")</f>
        <v>Ознакомиться</v>
      </c>
      <c r="W1409" s="8" t="s">
        <v>933</v>
      </c>
      <c r="X1409" s="6"/>
      <c r="Y1409" s="6"/>
      <c r="Z1409" s="6"/>
      <c r="AA1409" s="6" t="s">
        <v>62</v>
      </c>
    </row>
    <row r="1410" spans="1:27" s="4" customFormat="1" ht="51.95" customHeight="1">
      <c r="A1410" s="5">
        <v>0</v>
      </c>
      <c r="B1410" s="6" t="s">
        <v>7574</v>
      </c>
      <c r="C1410" s="7">
        <v>2388</v>
      </c>
      <c r="D1410" s="8" t="s">
        <v>7575</v>
      </c>
      <c r="E1410" s="8" t="s">
        <v>7576</v>
      </c>
      <c r="F1410" s="8" t="s">
        <v>7577</v>
      </c>
      <c r="G1410" s="6" t="s">
        <v>58</v>
      </c>
      <c r="H1410" s="6" t="s">
        <v>38</v>
      </c>
      <c r="I1410" s="8"/>
      <c r="J1410" s="9">
        <v>1</v>
      </c>
      <c r="K1410" s="9">
        <v>424</v>
      </c>
      <c r="L1410" s="9">
        <v>2024</v>
      </c>
      <c r="M1410" s="8" t="s">
        <v>7578</v>
      </c>
      <c r="N1410" s="8" t="s">
        <v>40</v>
      </c>
      <c r="O1410" s="8" t="s">
        <v>41</v>
      </c>
      <c r="P1410" s="6" t="s">
        <v>42</v>
      </c>
      <c r="Q1410" s="8" t="s">
        <v>43</v>
      </c>
      <c r="R1410" s="10" t="s">
        <v>7579</v>
      </c>
      <c r="S1410" s="11"/>
      <c r="T1410" s="6"/>
      <c r="U1410" s="28" t="str">
        <f>HYPERLINK("https://media.infra-m.ru/2141/2141646/cover/2141646.jpg", "Обложка")</f>
        <v>Обложка</v>
      </c>
      <c r="V1410" s="28" t="str">
        <f>HYPERLINK("https://znanium.ru/catalog/product/2141646", "Ознакомиться")</f>
        <v>Ознакомиться</v>
      </c>
      <c r="W1410" s="8" t="s">
        <v>1724</v>
      </c>
      <c r="X1410" s="6"/>
      <c r="Y1410" s="6"/>
      <c r="Z1410" s="6"/>
      <c r="AA1410" s="6" t="s">
        <v>79</v>
      </c>
    </row>
    <row r="1411" spans="1:27" s="4" customFormat="1" ht="51.95" customHeight="1">
      <c r="A1411" s="5">
        <v>0</v>
      </c>
      <c r="B1411" s="6" t="s">
        <v>7580</v>
      </c>
      <c r="C1411" s="7">
        <v>1164</v>
      </c>
      <c r="D1411" s="8" t="s">
        <v>7581</v>
      </c>
      <c r="E1411" s="8" t="s">
        <v>7582</v>
      </c>
      <c r="F1411" s="8" t="s">
        <v>2122</v>
      </c>
      <c r="G1411" s="6" t="s">
        <v>51</v>
      </c>
      <c r="H1411" s="6" t="s">
        <v>38</v>
      </c>
      <c r="I1411" s="8"/>
      <c r="J1411" s="9">
        <v>1</v>
      </c>
      <c r="K1411" s="9">
        <v>208</v>
      </c>
      <c r="L1411" s="9">
        <v>2024</v>
      </c>
      <c r="M1411" s="8" t="s">
        <v>7583</v>
      </c>
      <c r="N1411" s="8" t="s">
        <v>40</v>
      </c>
      <c r="O1411" s="8" t="s">
        <v>41</v>
      </c>
      <c r="P1411" s="6" t="s">
        <v>75</v>
      </c>
      <c r="Q1411" s="8" t="s">
        <v>157</v>
      </c>
      <c r="R1411" s="10" t="s">
        <v>122</v>
      </c>
      <c r="S1411" s="11"/>
      <c r="T1411" s="6"/>
      <c r="U1411" s="28" t="str">
        <f>HYPERLINK("https://media.infra-m.ru/2078/2078383/cover/2078383.jpg", "Обложка")</f>
        <v>Обложка</v>
      </c>
      <c r="V1411" s="28" t="str">
        <f>HYPERLINK("https://znanium.ru/catalog/product/2078383", "Ознакомиться")</f>
        <v>Ознакомиться</v>
      </c>
      <c r="W1411" s="8" t="s">
        <v>114</v>
      </c>
      <c r="X1411" s="6"/>
      <c r="Y1411" s="6"/>
      <c r="Z1411" s="6"/>
      <c r="AA1411" s="6" t="s">
        <v>88</v>
      </c>
    </row>
    <row r="1412" spans="1:27" s="4" customFormat="1" ht="51.95" customHeight="1">
      <c r="A1412" s="5">
        <v>0</v>
      </c>
      <c r="B1412" s="6" t="s">
        <v>7584</v>
      </c>
      <c r="C1412" s="7">
        <v>2656.8</v>
      </c>
      <c r="D1412" s="8" t="s">
        <v>7585</v>
      </c>
      <c r="E1412" s="8" t="s">
        <v>7586</v>
      </c>
      <c r="F1412" s="8" t="s">
        <v>1594</v>
      </c>
      <c r="G1412" s="6" t="s">
        <v>58</v>
      </c>
      <c r="H1412" s="6" t="s">
        <v>38</v>
      </c>
      <c r="I1412" s="8"/>
      <c r="J1412" s="9">
        <v>1</v>
      </c>
      <c r="K1412" s="9">
        <v>472</v>
      </c>
      <c r="L1412" s="9">
        <v>2024</v>
      </c>
      <c r="M1412" s="8" t="s">
        <v>7587</v>
      </c>
      <c r="N1412" s="8" t="s">
        <v>40</v>
      </c>
      <c r="O1412" s="8" t="s">
        <v>41</v>
      </c>
      <c r="P1412" s="6" t="s">
        <v>42</v>
      </c>
      <c r="Q1412" s="8" t="s">
        <v>43</v>
      </c>
      <c r="R1412" s="10" t="s">
        <v>3889</v>
      </c>
      <c r="S1412" s="11"/>
      <c r="T1412" s="6"/>
      <c r="U1412" s="28" t="str">
        <f>HYPERLINK("https://media.infra-m.ru/2148/2148577/cover/2148577.jpg", "Обложка")</f>
        <v>Обложка</v>
      </c>
      <c r="V1412" s="28" t="str">
        <f>HYPERLINK("https://znanium.ru/catalog/product/1194133", "Ознакомиться")</f>
        <v>Ознакомиться</v>
      </c>
      <c r="W1412" s="8" t="s">
        <v>1596</v>
      </c>
      <c r="X1412" s="6"/>
      <c r="Y1412" s="6"/>
      <c r="Z1412" s="6"/>
      <c r="AA1412" s="6" t="s">
        <v>79</v>
      </c>
    </row>
    <row r="1413" spans="1:27" s="4" customFormat="1" ht="51.95" customHeight="1">
      <c r="A1413" s="5">
        <v>0</v>
      </c>
      <c r="B1413" s="6" t="s">
        <v>7588</v>
      </c>
      <c r="C1413" s="7">
        <v>2784</v>
      </c>
      <c r="D1413" s="8" t="s">
        <v>7589</v>
      </c>
      <c r="E1413" s="8" t="s">
        <v>7590</v>
      </c>
      <c r="F1413" s="8" t="s">
        <v>7591</v>
      </c>
      <c r="G1413" s="6" t="s">
        <v>58</v>
      </c>
      <c r="H1413" s="6" t="s">
        <v>38</v>
      </c>
      <c r="I1413" s="8"/>
      <c r="J1413" s="9">
        <v>1</v>
      </c>
      <c r="K1413" s="9">
        <v>504</v>
      </c>
      <c r="L1413" s="9">
        <v>2023</v>
      </c>
      <c r="M1413" s="8" t="s">
        <v>7592</v>
      </c>
      <c r="N1413" s="8" t="s">
        <v>40</v>
      </c>
      <c r="O1413" s="8" t="s">
        <v>41</v>
      </c>
      <c r="P1413" s="6" t="s">
        <v>95</v>
      </c>
      <c r="Q1413" s="8" t="s">
        <v>76</v>
      </c>
      <c r="R1413" s="10" t="s">
        <v>6151</v>
      </c>
      <c r="S1413" s="11"/>
      <c r="T1413" s="6"/>
      <c r="U1413" s="28" t="str">
        <f>HYPERLINK("https://media.infra-m.ru/2053/2053974/cover/2053974.jpg", "Обложка")</f>
        <v>Обложка</v>
      </c>
      <c r="V1413" s="28" t="str">
        <f>HYPERLINK("https://znanium.ru/catalog/product/2123355", "Ознакомиться")</f>
        <v>Ознакомиться</v>
      </c>
      <c r="W1413" s="8" t="s">
        <v>423</v>
      </c>
      <c r="X1413" s="6"/>
      <c r="Y1413" s="6"/>
      <c r="Z1413" s="6"/>
      <c r="AA1413" s="6" t="s">
        <v>7593</v>
      </c>
    </row>
    <row r="1414" spans="1:27" s="4" customFormat="1" ht="51.95" customHeight="1">
      <c r="A1414" s="5">
        <v>0</v>
      </c>
      <c r="B1414" s="6" t="s">
        <v>7594</v>
      </c>
      <c r="C1414" s="7">
        <v>3144</v>
      </c>
      <c r="D1414" s="8" t="s">
        <v>7595</v>
      </c>
      <c r="E1414" s="8" t="s">
        <v>7596</v>
      </c>
      <c r="F1414" s="8" t="s">
        <v>7591</v>
      </c>
      <c r="G1414" s="6" t="s">
        <v>58</v>
      </c>
      <c r="H1414" s="6" t="s">
        <v>38</v>
      </c>
      <c r="I1414" s="8"/>
      <c r="J1414" s="9">
        <v>1</v>
      </c>
      <c r="K1414" s="9">
        <v>568</v>
      </c>
      <c r="L1414" s="9">
        <v>2024</v>
      </c>
      <c r="M1414" s="8" t="s">
        <v>7597</v>
      </c>
      <c r="N1414" s="8" t="s">
        <v>40</v>
      </c>
      <c r="O1414" s="8" t="s">
        <v>41</v>
      </c>
      <c r="P1414" s="6" t="s">
        <v>95</v>
      </c>
      <c r="Q1414" s="8" t="s">
        <v>76</v>
      </c>
      <c r="R1414" s="10" t="s">
        <v>6151</v>
      </c>
      <c r="S1414" s="11"/>
      <c r="T1414" s="6"/>
      <c r="U1414" s="28" t="str">
        <f>HYPERLINK("https://media.infra-m.ru/2123/2123355/cover/2123355.jpg", "Обложка")</f>
        <v>Обложка</v>
      </c>
      <c r="V1414" s="28" t="str">
        <f>HYPERLINK("https://znanium.ru/catalog/product/2123355", "Ознакомиться")</f>
        <v>Ознакомиться</v>
      </c>
      <c r="W1414" s="8" t="s">
        <v>423</v>
      </c>
      <c r="X1414" s="6" t="s">
        <v>447</v>
      </c>
      <c r="Y1414" s="6"/>
      <c r="Z1414" s="6"/>
      <c r="AA1414" s="6" t="s">
        <v>2343</v>
      </c>
    </row>
    <row r="1415" spans="1:27" s="4" customFormat="1" ht="51.95" customHeight="1">
      <c r="A1415" s="5">
        <v>0</v>
      </c>
      <c r="B1415" s="6" t="s">
        <v>7598</v>
      </c>
      <c r="C1415" s="7">
        <v>1049.9000000000001</v>
      </c>
      <c r="D1415" s="8" t="s">
        <v>7599</v>
      </c>
      <c r="E1415" s="8" t="s">
        <v>7600</v>
      </c>
      <c r="F1415" s="8" t="s">
        <v>7601</v>
      </c>
      <c r="G1415" s="6" t="s">
        <v>58</v>
      </c>
      <c r="H1415" s="6" t="s">
        <v>38</v>
      </c>
      <c r="I1415" s="8"/>
      <c r="J1415" s="9">
        <v>1</v>
      </c>
      <c r="K1415" s="9">
        <v>624</v>
      </c>
      <c r="L1415" s="9">
        <v>2016</v>
      </c>
      <c r="M1415" s="8" t="s">
        <v>7602</v>
      </c>
      <c r="N1415" s="8" t="s">
        <v>40</v>
      </c>
      <c r="O1415" s="8" t="s">
        <v>41</v>
      </c>
      <c r="P1415" s="6" t="s">
        <v>95</v>
      </c>
      <c r="Q1415" s="8" t="s">
        <v>76</v>
      </c>
      <c r="R1415" s="10" t="s">
        <v>6151</v>
      </c>
      <c r="S1415" s="11"/>
      <c r="T1415" s="6"/>
      <c r="U1415" s="28" t="str">
        <f>HYPERLINK("https://media.infra-m.ru/0552/0552513/cover/552513.jpg", "Обложка")</f>
        <v>Обложка</v>
      </c>
      <c r="V1415" s="28" t="str">
        <f>HYPERLINK("https://znanium.ru/catalog/product/2123355", "Ознакомиться")</f>
        <v>Ознакомиться</v>
      </c>
      <c r="W1415" s="8" t="s">
        <v>423</v>
      </c>
      <c r="X1415" s="6"/>
      <c r="Y1415" s="6"/>
      <c r="Z1415" s="6"/>
      <c r="AA1415" s="6" t="s">
        <v>2667</v>
      </c>
    </row>
    <row r="1416" spans="1:27" s="4" customFormat="1" ht="42" customHeight="1">
      <c r="A1416" s="5">
        <v>0</v>
      </c>
      <c r="B1416" s="6" t="s">
        <v>7603</v>
      </c>
      <c r="C1416" s="7">
        <v>1469.9</v>
      </c>
      <c r="D1416" s="8" t="s">
        <v>7604</v>
      </c>
      <c r="E1416" s="8" t="s">
        <v>7605</v>
      </c>
      <c r="F1416" s="8" t="s">
        <v>7606</v>
      </c>
      <c r="G1416" s="6" t="s">
        <v>37</v>
      </c>
      <c r="H1416" s="6" t="s">
        <v>38</v>
      </c>
      <c r="I1416" s="8" t="s">
        <v>1198</v>
      </c>
      <c r="J1416" s="9">
        <v>1</v>
      </c>
      <c r="K1416" s="9">
        <v>272</v>
      </c>
      <c r="L1416" s="9">
        <v>2023</v>
      </c>
      <c r="M1416" s="8" t="s">
        <v>7607</v>
      </c>
      <c r="N1416" s="8" t="s">
        <v>40</v>
      </c>
      <c r="O1416" s="8" t="s">
        <v>41</v>
      </c>
      <c r="P1416" s="6" t="s">
        <v>95</v>
      </c>
      <c r="Q1416" s="8" t="s">
        <v>96</v>
      </c>
      <c r="R1416" s="10" t="s">
        <v>135</v>
      </c>
      <c r="S1416" s="11"/>
      <c r="T1416" s="6"/>
      <c r="U1416" s="28" t="str">
        <f>HYPERLINK("https://media.infra-m.ru/1893/1893953/cover/1893953.jpg", "Обложка")</f>
        <v>Обложка</v>
      </c>
      <c r="V1416" s="28" t="str">
        <f>HYPERLINK("https://znanium.ru/catalog/product/2066409", "Ознакомиться")</f>
        <v>Ознакомиться</v>
      </c>
      <c r="W1416" s="8" t="s">
        <v>114</v>
      </c>
      <c r="X1416" s="6"/>
      <c r="Y1416" s="6"/>
      <c r="Z1416" s="6"/>
      <c r="AA1416" s="6" t="s">
        <v>7608</v>
      </c>
    </row>
    <row r="1417" spans="1:27" s="4" customFormat="1" ht="42" customHeight="1">
      <c r="A1417" s="5">
        <v>0</v>
      </c>
      <c r="B1417" s="6" t="s">
        <v>7609</v>
      </c>
      <c r="C1417" s="7">
        <v>1464</v>
      </c>
      <c r="D1417" s="8" t="s">
        <v>7610</v>
      </c>
      <c r="E1417" s="8" t="s">
        <v>7611</v>
      </c>
      <c r="F1417" s="8" t="s">
        <v>7606</v>
      </c>
      <c r="G1417" s="6" t="s">
        <v>37</v>
      </c>
      <c r="H1417" s="6" t="s">
        <v>38</v>
      </c>
      <c r="I1417" s="8" t="s">
        <v>1198</v>
      </c>
      <c r="J1417" s="9">
        <v>1</v>
      </c>
      <c r="K1417" s="9">
        <v>256</v>
      </c>
      <c r="L1417" s="9">
        <v>2023</v>
      </c>
      <c r="M1417" s="8" t="s">
        <v>7612</v>
      </c>
      <c r="N1417" s="8" t="s">
        <v>40</v>
      </c>
      <c r="O1417" s="8" t="s">
        <v>41</v>
      </c>
      <c r="P1417" s="6" t="s">
        <v>95</v>
      </c>
      <c r="Q1417" s="8" t="s">
        <v>96</v>
      </c>
      <c r="R1417" s="10" t="s">
        <v>135</v>
      </c>
      <c r="S1417" s="11"/>
      <c r="T1417" s="6"/>
      <c r="U1417" s="28" t="str">
        <f>HYPERLINK("https://media.infra-m.ru/2066/2066409/cover/2066409.jpg", "Обложка")</f>
        <v>Обложка</v>
      </c>
      <c r="V1417" s="28" t="str">
        <f>HYPERLINK("https://znanium.ru/catalog/product/2066409", "Ознакомиться")</f>
        <v>Ознакомиться</v>
      </c>
      <c r="W1417" s="8" t="s">
        <v>114</v>
      </c>
      <c r="X1417" s="6" t="s">
        <v>498</v>
      </c>
      <c r="Y1417" s="6"/>
      <c r="Z1417" s="6"/>
      <c r="AA1417" s="6" t="s">
        <v>7613</v>
      </c>
    </row>
    <row r="1418" spans="1:27" s="4" customFormat="1" ht="51.95" customHeight="1">
      <c r="A1418" s="5">
        <v>0</v>
      </c>
      <c r="B1418" s="6" t="s">
        <v>7614</v>
      </c>
      <c r="C1418" s="7">
        <v>2488.8000000000002</v>
      </c>
      <c r="D1418" s="8" t="s">
        <v>7615</v>
      </c>
      <c r="E1418" s="8" t="s">
        <v>7616</v>
      </c>
      <c r="F1418" s="8" t="s">
        <v>7617</v>
      </c>
      <c r="G1418" s="6" t="s">
        <v>58</v>
      </c>
      <c r="H1418" s="6" t="s">
        <v>38</v>
      </c>
      <c r="I1418" s="8"/>
      <c r="J1418" s="9">
        <v>1</v>
      </c>
      <c r="K1418" s="9">
        <v>648</v>
      </c>
      <c r="L1418" s="9">
        <v>2024</v>
      </c>
      <c r="M1418" s="8" t="s">
        <v>7618</v>
      </c>
      <c r="N1418" s="8" t="s">
        <v>40</v>
      </c>
      <c r="O1418" s="8" t="s">
        <v>41</v>
      </c>
      <c r="P1418" s="6" t="s">
        <v>95</v>
      </c>
      <c r="Q1418" s="8" t="s">
        <v>76</v>
      </c>
      <c r="R1418" s="10" t="s">
        <v>842</v>
      </c>
      <c r="S1418" s="11" t="s">
        <v>2648</v>
      </c>
      <c r="T1418" s="6"/>
      <c r="U1418" s="28" t="str">
        <f>HYPERLINK("https://media.infra-m.ru/1893/1893955/cover/1893955.jpg", "Обложка")</f>
        <v>Обложка</v>
      </c>
      <c r="V1418" s="28" t="str">
        <f>HYPERLINK("https://znanium.ru/catalog/product/1092466", "Ознакомиться")</f>
        <v>Ознакомиться</v>
      </c>
      <c r="W1418" s="8" t="s">
        <v>4783</v>
      </c>
      <c r="X1418" s="6"/>
      <c r="Y1418" s="6"/>
      <c r="Z1418" s="6"/>
      <c r="AA1418" s="6" t="s">
        <v>2485</v>
      </c>
    </row>
    <row r="1419" spans="1:27" s="4" customFormat="1" ht="51.95" customHeight="1">
      <c r="A1419" s="5">
        <v>0</v>
      </c>
      <c r="B1419" s="6" t="s">
        <v>7619</v>
      </c>
      <c r="C1419" s="7">
        <v>2668.8</v>
      </c>
      <c r="D1419" s="8" t="s">
        <v>7620</v>
      </c>
      <c r="E1419" s="8" t="s">
        <v>7611</v>
      </c>
      <c r="F1419" s="8" t="s">
        <v>7621</v>
      </c>
      <c r="G1419" s="6" t="s">
        <v>37</v>
      </c>
      <c r="H1419" s="6" t="s">
        <v>38</v>
      </c>
      <c r="I1419" s="8"/>
      <c r="J1419" s="9">
        <v>1</v>
      </c>
      <c r="K1419" s="9">
        <v>800</v>
      </c>
      <c r="L1419" s="9">
        <v>2023</v>
      </c>
      <c r="M1419" s="8" t="s">
        <v>7622</v>
      </c>
      <c r="N1419" s="8" t="s">
        <v>40</v>
      </c>
      <c r="O1419" s="8" t="s">
        <v>41</v>
      </c>
      <c r="P1419" s="6" t="s">
        <v>95</v>
      </c>
      <c r="Q1419" s="8" t="s">
        <v>76</v>
      </c>
      <c r="R1419" s="10" t="s">
        <v>1936</v>
      </c>
      <c r="S1419" s="11" t="s">
        <v>7623</v>
      </c>
      <c r="T1419" s="6"/>
      <c r="U1419" s="28" t="str">
        <f>HYPERLINK("https://media.infra-m.ru/1906/1906068/cover/1906068.jpg", "Обложка")</f>
        <v>Обложка</v>
      </c>
      <c r="V1419" s="28" t="str">
        <f>HYPERLINK("https://znanium.ru/catalog/product/1008406", "Ознакомиться")</f>
        <v>Ознакомиться</v>
      </c>
      <c r="W1419" s="8" t="s">
        <v>7624</v>
      </c>
      <c r="X1419" s="6"/>
      <c r="Y1419" s="6"/>
      <c r="Z1419" s="6"/>
      <c r="AA1419" s="6" t="s">
        <v>6912</v>
      </c>
    </row>
    <row r="1420" spans="1:27" s="4" customFormat="1" ht="51.95" customHeight="1">
      <c r="A1420" s="5">
        <v>0</v>
      </c>
      <c r="B1420" s="6" t="s">
        <v>7625</v>
      </c>
      <c r="C1420" s="13">
        <v>960</v>
      </c>
      <c r="D1420" s="8" t="s">
        <v>7626</v>
      </c>
      <c r="E1420" s="8" t="s">
        <v>7627</v>
      </c>
      <c r="F1420" s="8" t="s">
        <v>7628</v>
      </c>
      <c r="G1420" s="6" t="s">
        <v>37</v>
      </c>
      <c r="H1420" s="6" t="s">
        <v>52</v>
      </c>
      <c r="I1420" s="8"/>
      <c r="J1420" s="9">
        <v>1</v>
      </c>
      <c r="K1420" s="9">
        <v>176</v>
      </c>
      <c r="L1420" s="9">
        <v>2022</v>
      </c>
      <c r="M1420" s="8" t="s">
        <v>7629</v>
      </c>
      <c r="N1420" s="8" t="s">
        <v>40</v>
      </c>
      <c r="O1420" s="8" t="s">
        <v>41</v>
      </c>
      <c r="P1420" s="6" t="s">
        <v>75</v>
      </c>
      <c r="Q1420" s="8" t="s">
        <v>76</v>
      </c>
      <c r="R1420" s="10" t="s">
        <v>3329</v>
      </c>
      <c r="S1420" s="11" t="s">
        <v>7630</v>
      </c>
      <c r="T1420" s="6"/>
      <c r="U1420" s="28" t="str">
        <f>HYPERLINK("https://media.infra-m.ru/1949/1949065/cover/1949065.jpg", "Обложка")</f>
        <v>Обложка</v>
      </c>
      <c r="V1420" s="28" t="str">
        <f>HYPERLINK("https://znanium.ru/catalog/product/1911128", "Ознакомиться")</f>
        <v>Ознакомиться</v>
      </c>
      <c r="W1420" s="8" t="s">
        <v>475</v>
      </c>
      <c r="X1420" s="6"/>
      <c r="Y1420" s="6"/>
      <c r="Z1420" s="6"/>
      <c r="AA1420" s="6" t="s">
        <v>302</v>
      </c>
    </row>
    <row r="1421" spans="1:27" s="4" customFormat="1" ht="51.95" customHeight="1">
      <c r="A1421" s="5">
        <v>0</v>
      </c>
      <c r="B1421" s="6" t="s">
        <v>7631</v>
      </c>
      <c r="C1421" s="7">
        <v>1169.9000000000001</v>
      </c>
      <c r="D1421" s="8" t="s">
        <v>7632</v>
      </c>
      <c r="E1421" s="8" t="s">
        <v>7633</v>
      </c>
      <c r="F1421" s="8" t="s">
        <v>7634</v>
      </c>
      <c r="G1421" s="6" t="s">
        <v>58</v>
      </c>
      <c r="H1421" s="6" t="s">
        <v>191</v>
      </c>
      <c r="I1421" s="8" t="s">
        <v>2209</v>
      </c>
      <c r="J1421" s="9">
        <v>1</v>
      </c>
      <c r="K1421" s="9">
        <v>288</v>
      </c>
      <c r="L1421" s="9">
        <v>2020</v>
      </c>
      <c r="M1421" s="8" t="s">
        <v>7635</v>
      </c>
      <c r="N1421" s="8" t="s">
        <v>40</v>
      </c>
      <c r="O1421" s="8" t="s">
        <v>41</v>
      </c>
      <c r="P1421" s="6" t="s">
        <v>75</v>
      </c>
      <c r="Q1421" s="8" t="s">
        <v>96</v>
      </c>
      <c r="R1421" s="10" t="s">
        <v>7636</v>
      </c>
      <c r="S1421" s="11" t="s">
        <v>7637</v>
      </c>
      <c r="T1421" s="6"/>
      <c r="U1421" s="28" t="str">
        <f>HYPERLINK("https://media.infra-m.ru/1052/1052235/cover/1052235.jpg", "Обложка")</f>
        <v>Обложка</v>
      </c>
      <c r="V1421" s="28" t="str">
        <f>HYPERLINK("https://znanium.ru/catalog/product/1052235", "Ознакомиться")</f>
        <v>Ознакомиться</v>
      </c>
      <c r="W1421" s="8" t="s">
        <v>6355</v>
      </c>
      <c r="X1421" s="6"/>
      <c r="Y1421" s="6"/>
      <c r="Z1421" s="6"/>
      <c r="AA1421" s="6" t="s">
        <v>5440</v>
      </c>
    </row>
    <row r="1422" spans="1:27" s="4" customFormat="1" ht="42" customHeight="1">
      <c r="A1422" s="5">
        <v>0</v>
      </c>
      <c r="B1422" s="6" t="s">
        <v>7638</v>
      </c>
      <c r="C1422" s="13">
        <v>641.9</v>
      </c>
      <c r="D1422" s="8" t="s">
        <v>7639</v>
      </c>
      <c r="E1422" s="8" t="s">
        <v>7640</v>
      </c>
      <c r="F1422" s="8" t="s">
        <v>7641</v>
      </c>
      <c r="G1422" s="6" t="s">
        <v>51</v>
      </c>
      <c r="H1422" s="6" t="s">
        <v>84</v>
      </c>
      <c r="I1422" s="8" t="s">
        <v>85</v>
      </c>
      <c r="J1422" s="9">
        <v>1</v>
      </c>
      <c r="K1422" s="9">
        <v>152</v>
      </c>
      <c r="L1422" s="9">
        <v>2020</v>
      </c>
      <c r="M1422" s="8" t="s">
        <v>7642</v>
      </c>
      <c r="N1422" s="8" t="s">
        <v>40</v>
      </c>
      <c r="O1422" s="8" t="s">
        <v>41</v>
      </c>
      <c r="P1422" s="6" t="s">
        <v>841</v>
      </c>
      <c r="Q1422" s="8" t="s">
        <v>43</v>
      </c>
      <c r="R1422" s="10" t="s">
        <v>932</v>
      </c>
      <c r="S1422" s="11"/>
      <c r="T1422" s="6"/>
      <c r="U1422" s="28" t="str">
        <f>HYPERLINK("https://media.infra-m.ru/1047/1047149/cover/1047149.jpg", "Обложка")</f>
        <v>Обложка</v>
      </c>
      <c r="V1422" s="28" t="str">
        <f>HYPERLINK("https://znanium.ru/catalog/product/1047149", "Ознакомиться")</f>
        <v>Ознакомиться</v>
      </c>
      <c r="W1422" s="8" t="s">
        <v>45</v>
      </c>
      <c r="X1422" s="6"/>
      <c r="Y1422" s="6"/>
      <c r="Z1422" s="6"/>
      <c r="AA1422" s="6" t="s">
        <v>88</v>
      </c>
    </row>
    <row r="1423" spans="1:27" s="4" customFormat="1" ht="51.95" customHeight="1">
      <c r="A1423" s="5">
        <v>0</v>
      </c>
      <c r="B1423" s="6" t="s">
        <v>7643</v>
      </c>
      <c r="C1423" s="7">
        <v>1229.9000000000001</v>
      </c>
      <c r="D1423" s="8" t="s">
        <v>7644</v>
      </c>
      <c r="E1423" s="8" t="s">
        <v>7645</v>
      </c>
      <c r="F1423" s="8" t="s">
        <v>7646</v>
      </c>
      <c r="G1423" s="6" t="s">
        <v>58</v>
      </c>
      <c r="H1423" s="6" t="s">
        <v>52</v>
      </c>
      <c r="I1423" s="8" t="s">
        <v>320</v>
      </c>
      <c r="J1423" s="9">
        <v>1</v>
      </c>
      <c r="K1423" s="9">
        <v>299</v>
      </c>
      <c r="L1423" s="9">
        <v>2020</v>
      </c>
      <c r="M1423" s="8" t="s">
        <v>7647</v>
      </c>
      <c r="N1423" s="8" t="s">
        <v>40</v>
      </c>
      <c r="O1423" s="8" t="s">
        <v>41</v>
      </c>
      <c r="P1423" s="6" t="s">
        <v>75</v>
      </c>
      <c r="Q1423" s="8" t="s">
        <v>76</v>
      </c>
      <c r="R1423" s="10" t="s">
        <v>7648</v>
      </c>
      <c r="S1423" s="11"/>
      <c r="T1423" s="6"/>
      <c r="U1423" s="28" t="str">
        <f>HYPERLINK("https://media.infra-m.ru/1036/1036581/cover/1036581.jpg", "Обложка")</f>
        <v>Обложка</v>
      </c>
      <c r="V1423" s="28" t="str">
        <f>HYPERLINK("https://znanium.ru/catalog/product/1036581", "Ознакомиться")</f>
        <v>Ознакомиться</v>
      </c>
      <c r="W1423" s="8" t="s">
        <v>568</v>
      </c>
      <c r="X1423" s="6"/>
      <c r="Y1423" s="6"/>
      <c r="Z1423" s="6"/>
      <c r="AA1423" s="6" t="s">
        <v>424</v>
      </c>
    </row>
    <row r="1424" spans="1:27" s="4" customFormat="1" ht="42" customHeight="1">
      <c r="A1424" s="5">
        <v>0</v>
      </c>
      <c r="B1424" s="6" t="s">
        <v>7649</v>
      </c>
      <c r="C1424" s="13">
        <v>341.9</v>
      </c>
      <c r="D1424" s="8" t="s">
        <v>7650</v>
      </c>
      <c r="E1424" s="8" t="s">
        <v>7651</v>
      </c>
      <c r="F1424" s="8" t="s">
        <v>609</v>
      </c>
      <c r="G1424" s="6" t="s">
        <v>51</v>
      </c>
      <c r="H1424" s="6" t="s">
        <v>84</v>
      </c>
      <c r="I1424" s="8" t="s">
        <v>250</v>
      </c>
      <c r="J1424" s="9">
        <v>1</v>
      </c>
      <c r="K1424" s="9">
        <v>78</v>
      </c>
      <c r="L1424" s="9">
        <v>2021</v>
      </c>
      <c r="M1424" s="8" t="s">
        <v>7652</v>
      </c>
      <c r="N1424" s="8" t="s">
        <v>40</v>
      </c>
      <c r="O1424" s="8" t="s">
        <v>41</v>
      </c>
      <c r="P1424" s="6" t="s">
        <v>42</v>
      </c>
      <c r="Q1424" s="8" t="s">
        <v>43</v>
      </c>
      <c r="R1424" s="10" t="s">
        <v>7653</v>
      </c>
      <c r="S1424" s="11"/>
      <c r="T1424" s="6"/>
      <c r="U1424" s="28" t="str">
        <f>HYPERLINK("https://media.infra-m.ru/1208/1208484/cover/1208484.jpg", "Обложка")</f>
        <v>Обложка</v>
      </c>
      <c r="V1424" s="28" t="str">
        <f>HYPERLINK("https://znanium.ru/catalog/product/1208484", "Ознакомиться")</f>
        <v>Ознакомиться</v>
      </c>
      <c r="W1424" s="8" t="s">
        <v>107</v>
      </c>
      <c r="X1424" s="6"/>
      <c r="Y1424" s="6"/>
      <c r="Z1424" s="6"/>
      <c r="AA1424" s="6" t="s">
        <v>424</v>
      </c>
    </row>
    <row r="1425" spans="1:27" s="4" customFormat="1" ht="42" customHeight="1">
      <c r="A1425" s="5">
        <v>0</v>
      </c>
      <c r="B1425" s="6" t="s">
        <v>7654</v>
      </c>
      <c r="C1425" s="13">
        <v>832.8</v>
      </c>
      <c r="D1425" s="8" t="s">
        <v>7655</v>
      </c>
      <c r="E1425" s="8" t="s">
        <v>7656</v>
      </c>
      <c r="F1425" s="8" t="s">
        <v>7657</v>
      </c>
      <c r="G1425" s="6" t="s">
        <v>51</v>
      </c>
      <c r="H1425" s="6" t="s">
        <v>84</v>
      </c>
      <c r="I1425" s="8" t="s">
        <v>250</v>
      </c>
      <c r="J1425" s="9">
        <v>1</v>
      </c>
      <c r="K1425" s="9">
        <v>152</v>
      </c>
      <c r="L1425" s="9">
        <v>2024</v>
      </c>
      <c r="M1425" s="8" t="s">
        <v>7658</v>
      </c>
      <c r="N1425" s="8" t="s">
        <v>40</v>
      </c>
      <c r="O1425" s="8" t="s">
        <v>41</v>
      </c>
      <c r="P1425" s="6" t="s">
        <v>42</v>
      </c>
      <c r="Q1425" s="8" t="s">
        <v>43</v>
      </c>
      <c r="R1425" s="10" t="s">
        <v>7653</v>
      </c>
      <c r="S1425" s="11"/>
      <c r="T1425" s="6"/>
      <c r="U1425" s="28" t="str">
        <f>HYPERLINK("https://media.infra-m.ru/2117/2117134/cover/2117134.jpg", "Обложка")</f>
        <v>Обложка</v>
      </c>
      <c r="V1425" s="28" t="str">
        <f>HYPERLINK("https://znanium.ru/catalog/product/1059308", "Ознакомиться")</f>
        <v>Ознакомиться</v>
      </c>
      <c r="W1425" s="8" t="s">
        <v>107</v>
      </c>
      <c r="X1425" s="6"/>
      <c r="Y1425" s="6"/>
      <c r="Z1425" s="6"/>
      <c r="AA1425" s="6" t="s">
        <v>424</v>
      </c>
    </row>
    <row r="1426" spans="1:27" s="4" customFormat="1" ht="42" customHeight="1">
      <c r="A1426" s="5">
        <v>0</v>
      </c>
      <c r="B1426" s="6" t="s">
        <v>7659</v>
      </c>
      <c r="C1426" s="7">
        <v>1092</v>
      </c>
      <c r="D1426" s="8" t="s">
        <v>7660</v>
      </c>
      <c r="E1426" s="8" t="s">
        <v>7661</v>
      </c>
      <c r="F1426" s="8" t="s">
        <v>7662</v>
      </c>
      <c r="G1426" s="6" t="s">
        <v>51</v>
      </c>
      <c r="H1426" s="6" t="s">
        <v>84</v>
      </c>
      <c r="I1426" s="8" t="s">
        <v>250</v>
      </c>
      <c r="J1426" s="9">
        <v>1</v>
      </c>
      <c r="K1426" s="9">
        <v>191</v>
      </c>
      <c r="L1426" s="9">
        <v>2024</v>
      </c>
      <c r="M1426" s="8" t="s">
        <v>7663</v>
      </c>
      <c r="N1426" s="8" t="s">
        <v>40</v>
      </c>
      <c r="O1426" s="8" t="s">
        <v>41</v>
      </c>
      <c r="P1426" s="6" t="s">
        <v>42</v>
      </c>
      <c r="Q1426" s="8" t="s">
        <v>43</v>
      </c>
      <c r="R1426" s="10" t="s">
        <v>7664</v>
      </c>
      <c r="S1426" s="11"/>
      <c r="T1426" s="6"/>
      <c r="U1426" s="28" t="str">
        <f>HYPERLINK("https://media.infra-m.ru/2135/2135246/cover/2135246.jpg", "Обложка")</f>
        <v>Обложка</v>
      </c>
      <c r="V1426" s="28" t="str">
        <f>HYPERLINK("https://znanium.ru/catalog/product/2135246", "Ознакомиться")</f>
        <v>Ознакомиться</v>
      </c>
      <c r="W1426" s="8" t="s">
        <v>3146</v>
      </c>
      <c r="X1426" s="6"/>
      <c r="Y1426" s="6"/>
      <c r="Z1426" s="6"/>
      <c r="AA1426" s="6" t="s">
        <v>115</v>
      </c>
    </row>
    <row r="1427" spans="1:27" s="4" customFormat="1" ht="42" customHeight="1">
      <c r="A1427" s="5">
        <v>0</v>
      </c>
      <c r="B1427" s="6" t="s">
        <v>7665</v>
      </c>
      <c r="C1427" s="13">
        <v>749.9</v>
      </c>
      <c r="D1427" s="8" t="s">
        <v>7666</v>
      </c>
      <c r="E1427" s="8" t="s">
        <v>7667</v>
      </c>
      <c r="F1427" s="8" t="s">
        <v>7668</v>
      </c>
      <c r="G1427" s="6" t="s">
        <v>51</v>
      </c>
      <c r="H1427" s="6" t="s">
        <v>38</v>
      </c>
      <c r="I1427" s="8"/>
      <c r="J1427" s="9">
        <v>1</v>
      </c>
      <c r="K1427" s="9">
        <v>160</v>
      </c>
      <c r="L1427" s="9">
        <v>2022</v>
      </c>
      <c r="M1427" s="8" t="s">
        <v>7669</v>
      </c>
      <c r="N1427" s="8" t="s">
        <v>40</v>
      </c>
      <c r="O1427" s="8" t="s">
        <v>41</v>
      </c>
      <c r="P1427" s="6" t="s">
        <v>42</v>
      </c>
      <c r="Q1427" s="8" t="s">
        <v>43</v>
      </c>
      <c r="R1427" s="10" t="s">
        <v>308</v>
      </c>
      <c r="S1427" s="11"/>
      <c r="T1427" s="6"/>
      <c r="U1427" s="28" t="str">
        <f>HYPERLINK("https://media.infra-m.ru/1841/1841422/cover/1841422.jpg", "Обложка")</f>
        <v>Обложка</v>
      </c>
      <c r="V1427" s="28" t="str">
        <f>HYPERLINK("https://znanium.ru/catalog/product/1841422", "Ознакомиться")</f>
        <v>Ознакомиться</v>
      </c>
      <c r="W1427" s="8" t="s">
        <v>731</v>
      </c>
      <c r="X1427" s="6"/>
      <c r="Y1427" s="6"/>
      <c r="Z1427" s="6"/>
      <c r="AA1427" s="6" t="s">
        <v>655</v>
      </c>
    </row>
    <row r="1428" spans="1:27" s="4" customFormat="1" ht="42" customHeight="1">
      <c r="A1428" s="5">
        <v>0</v>
      </c>
      <c r="B1428" s="6" t="s">
        <v>7670</v>
      </c>
      <c r="C1428" s="7">
        <v>1356</v>
      </c>
      <c r="D1428" s="8" t="s">
        <v>7671</v>
      </c>
      <c r="E1428" s="8" t="s">
        <v>7672</v>
      </c>
      <c r="F1428" s="8" t="s">
        <v>7673</v>
      </c>
      <c r="G1428" s="6" t="s">
        <v>37</v>
      </c>
      <c r="H1428" s="6" t="s">
        <v>38</v>
      </c>
      <c r="I1428" s="8"/>
      <c r="J1428" s="9">
        <v>1</v>
      </c>
      <c r="K1428" s="9">
        <v>240</v>
      </c>
      <c r="L1428" s="9">
        <v>2024</v>
      </c>
      <c r="M1428" s="8" t="s">
        <v>7674</v>
      </c>
      <c r="N1428" s="8" t="s">
        <v>40</v>
      </c>
      <c r="O1428" s="8" t="s">
        <v>41</v>
      </c>
      <c r="P1428" s="6" t="s">
        <v>42</v>
      </c>
      <c r="Q1428" s="8" t="s">
        <v>43</v>
      </c>
      <c r="R1428" s="10" t="s">
        <v>932</v>
      </c>
      <c r="S1428" s="11"/>
      <c r="T1428" s="6"/>
      <c r="U1428" s="28" t="str">
        <f>HYPERLINK("https://media.infra-m.ru/2145/2145420/cover/2145420.jpg", "Обложка")</f>
        <v>Обложка</v>
      </c>
      <c r="V1428" s="28" t="str">
        <f>HYPERLINK("https://znanium.ru/catalog/product/1976050", "Ознакомиться")</f>
        <v>Ознакомиться</v>
      </c>
      <c r="W1428" s="8" t="s">
        <v>4295</v>
      </c>
      <c r="X1428" s="6"/>
      <c r="Y1428" s="6"/>
      <c r="Z1428" s="6"/>
      <c r="AA1428" s="6" t="s">
        <v>46</v>
      </c>
    </row>
    <row r="1429" spans="1:27" s="4" customFormat="1" ht="42" customHeight="1">
      <c r="A1429" s="5">
        <v>0</v>
      </c>
      <c r="B1429" s="6" t="s">
        <v>7675</v>
      </c>
      <c r="C1429" s="13">
        <v>804</v>
      </c>
      <c r="D1429" s="8" t="s">
        <v>7676</v>
      </c>
      <c r="E1429" s="8" t="s">
        <v>7677</v>
      </c>
      <c r="F1429" s="8" t="s">
        <v>7678</v>
      </c>
      <c r="G1429" s="6" t="s">
        <v>58</v>
      </c>
      <c r="H1429" s="6" t="s">
        <v>84</v>
      </c>
      <c r="I1429" s="8" t="s">
        <v>250</v>
      </c>
      <c r="J1429" s="9">
        <v>1</v>
      </c>
      <c r="K1429" s="9">
        <v>206</v>
      </c>
      <c r="L1429" s="9">
        <v>2018</v>
      </c>
      <c r="M1429" s="8" t="s">
        <v>7679</v>
      </c>
      <c r="N1429" s="8" t="s">
        <v>40</v>
      </c>
      <c r="O1429" s="8" t="s">
        <v>41</v>
      </c>
      <c r="P1429" s="6" t="s">
        <v>42</v>
      </c>
      <c r="Q1429" s="8" t="s">
        <v>43</v>
      </c>
      <c r="R1429" s="10" t="s">
        <v>113</v>
      </c>
      <c r="S1429" s="11"/>
      <c r="T1429" s="6"/>
      <c r="U1429" s="28" t="str">
        <f>HYPERLINK("https://media.infra-m.ru/0962/0962586/cover/962586.jpg", "Обложка")</f>
        <v>Обложка</v>
      </c>
      <c r="V1429" s="28" t="str">
        <f>HYPERLINK("https://znanium.ru/catalog/product/962586", "Ознакомиться")</f>
        <v>Ознакомиться</v>
      </c>
      <c r="W1429" s="8" t="s">
        <v>536</v>
      </c>
      <c r="X1429" s="6"/>
      <c r="Y1429" s="6"/>
      <c r="Z1429" s="6"/>
      <c r="AA1429" s="6" t="s">
        <v>148</v>
      </c>
    </row>
    <row r="1430" spans="1:27" s="4" customFormat="1" ht="42" customHeight="1">
      <c r="A1430" s="5">
        <v>0</v>
      </c>
      <c r="B1430" s="6" t="s">
        <v>7680</v>
      </c>
      <c r="C1430" s="7">
        <v>1008</v>
      </c>
      <c r="D1430" s="8" t="s">
        <v>7681</v>
      </c>
      <c r="E1430" s="8" t="s">
        <v>7682</v>
      </c>
      <c r="F1430" s="8" t="s">
        <v>7683</v>
      </c>
      <c r="G1430" s="6" t="s">
        <v>51</v>
      </c>
      <c r="H1430" s="6" t="s">
        <v>84</v>
      </c>
      <c r="I1430" s="8" t="s">
        <v>250</v>
      </c>
      <c r="J1430" s="9">
        <v>1</v>
      </c>
      <c r="K1430" s="9">
        <v>181</v>
      </c>
      <c r="L1430" s="9">
        <v>2024</v>
      </c>
      <c r="M1430" s="8" t="s">
        <v>7684</v>
      </c>
      <c r="N1430" s="8" t="s">
        <v>40</v>
      </c>
      <c r="O1430" s="8" t="s">
        <v>41</v>
      </c>
      <c r="P1430" s="6" t="s">
        <v>42</v>
      </c>
      <c r="Q1430" s="8" t="s">
        <v>43</v>
      </c>
      <c r="R1430" s="10" t="s">
        <v>7685</v>
      </c>
      <c r="S1430" s="11"/>
      <c r="T1430" s="6"/>
      <c r="U1430" s="28" t="str">
        <f>HYPERLINK("https://media.infra-m.ru/2117/2117129/cover/2117129.jpg", "Обложка")</f>
        <v>Обложка</v>
      </c>
      <c r="V1430" s="28" t="str">
        <f>HYPERLINK("https://znanium.ru/catalog/product/2117129", "Ознакомиться")</f>
        <v>Ознакомиться</v>
      </c>
      <c r="W1430" s="8" t="s">
        <v>691</v>
      </c>
      <c r="X1430" s="6"/>
      <c r="Y1430" s="6"/>
      <c r="Z1430" s="6"/>
      <c r="AA1430" s="6" t="s">
        <v>46</v>
      </c>
    </row>
    <row r="1431" spans="1:27" s="4" customFormat="1" ht="44.1" customHeight="1">
      <c r="A1431" s="5">
        <v>0</v>
      </c>
      <c r="B1431" s="6" t="s">
        <v>7686</v>
      </c>
      <c r="C1431" s="13">
        <v>720</v>
      </c>
      <c r="D1431" s="8" t="s">
        <v>7687</v>
      </c>
      <c r="E1431" s="8" t="s">
        <v>7688</v>
      </c>
      <c r="F1431" s="8" t="s">
        <v>7689</v>
      </c>
      <c r="G1431" s="6" t="s">
        <v>51</v>
      </c>
      <c r="H1431" s="6" t="s">
        <v>84</v>
      </c>
      <c r="I1431" s="8" t="s">
        <v>85</v>
      </c>
      <c r="J1431" s="9">
        <v>1</v>
      </c>
      <c r="K1431" s="9">
        <v>176</v>
      </c>
      <c r="L1431" s="9">
        <v>2020</v>
      </c>
      <c r="M1431" s="8" t="s">
        <v>7690</v>
      </c>
      <c r="N1431" s="8" t="s">
        <v>40</v>
      </c>
      <c r="O1431" s="8" t="s">
        <v>41</v>
      </c>
      <c r="P1431" s="6" t="s">
        <v>841</v>
      </c>
      <c r="Q1431" s="8" t="s">
        <v>43</v>
      </c>
      <c r="R1431" s="10" t="s">
        <v>308</v>
      </c>
      <c r="S1431" s="11"/>
      <c r="T1431" s="6"/>
      <c r="U1431" s="28" t="str">
        <f>HYPERLINK("https://media.infra-m.ru/1081/1081862/cover/1081862.jpg", "Обложка")</f>
        <v>Обложка</v>
      </c>
      <c r="V1431" s="28" t="str">
        <f>HYPERLINK("https://znanium.ru/catalog/product/1081862", "Ознакомиться")</f>
        <v>Ознакомиться</v>
      </c>
      <c r="W1431" s="8" t="s">
        <v>45</v>
      </c>
      <c r="X1431" s="6"/>
      <c r="Y1431" s="6"/>
      <c r="Z1431" s="6"/>
      <c r="AA1431" s="6" t="s">
        <v>302</v>
      </c>
    </row>
    <row r="1432" spans="1:27" s="4" customFormat="1" ht="44.1" customHeight="1">
      <c r="A1432" s="5">
        <v>0</v>
      </c>
      <c r="B1432" s="6" t="s">
        <v>7691</v>
      </c>
      <c r="C1432" s="7">
        <v>1464</v>
      </c>
      <c r="D1432" s="8" t="s">
        <v>7692</v>
      </c>
      <c r="E1432" s="8" t="s">
        <v>7693</v>
      </c>
      <c r="F1432" s="8" t="s">
        <v>7694</v>
      </c>
      <c r="G1432" s="6" t="s">
        <v>51</v>
      </c>
      <c r="H1432" s="6" t="s">
        <v>84</v>
      </c>
      <c r="I1432" s="8" t="s">
        <v>85</v>
      </c>
      <c r="J1432" s="9">
        <v>1</v>
      </c>
      <c r="K1432" s="9">
        <v>264</v>
      </c>
      <c r="L1432" s="9">
        <v>2024</v>
      </c>
      <c r="M1432" s="8" t="s">
        <v>7695</v>
      </c>
      <c r="N1432" s="8" t="s">
        <v>40</v>
      </c>
      <c r="O1432" s="8" t="s">
        <v>41</v>
      </c>
      <c r="P1432" s="6" t="s">
        <v>42</v>
      </c>
      <c r="Q1432" s="8" t="s">
        <v>43</v>
      </c>
      <c r="R1432" s="10" t="s">
        <v>780</v>
      </c>
      <c r="S1432" s="11"/>
      <c r="T1432" s="6"/>
      <c r="U1432" s="28" t="str">
        <f>HYPERLINK("https://media.infra-m.ru/2084/2084488/cover/2084488.jpg", "Обложка")</f>
        <v>Обложка</v>
      </c>
      <c r="V1432" s="28" t="str">
        <f>HYPERLINK("https://znanium.ru/catalog/product/2084488", "Ознакомиться")</f>
        <v>Ознакомиться</v>
      </c>
      <c r="W1432" s="8" t="s">
        <v>45</v>
      </c>
      <c r="X1432" s="6"/>
      <c r="Y1432" s="6"/>
      <c r="Z1432" s="6"/>
      <c r="AA1432" s="6" t="s">
        <v>62</v>
      </c>
    </row>
    <row r="1433" spans="1:27" s="4" customFormat="1" ht="51.95" customHeight="1">
      <c r="A1433" s="5">
        <v>0</v>
      </c>
      <c r="B1433" s="6" t="s">
        <v>7696</v>
      </c>
      <c r="C1433" s="13">
        <v>785.9</v>
      </c>
      <c r="D1433" s="8" t="s">
        <v>7697</v>
      </c>
      <c r="E1433" s="8" t="s">
        <v>7698</v>
      </c>
      <c r="F1433" s="8" t="s">
        <v>7699</v>
      </c>
      <c r="G1433" s="6" t="s">
        <v>51</v>
      </c>
      <c r="H1433" s="6" t="s">
        <v>38</v>
      </c>
      <c r="I1433" s="8"/>
      <c r="J1433" s="9">
        <v>1</v>
      </c>
      <c r="K1433" s="9">
        <v>192</v>
      </c>
      <c r="L1433" s="9">
        <v>2019</v>
      </c>
      <c r="M1433" s="8" t="s">
        <v>7700</v>
      </c>
      <c r="N1433" s="8" t="s">
        <v>40</v>
      </c>
      <c r="O1433" s="8" t="s">
        <v>41</v>
      </c>
      <c r="P1433" s="6" t="s">
        <v>42</v>
      </c>
      <c r="Q1433" s="8" t="s">
        <v>300</v>
      </c>
      <c r="R1433" s="10" t="s">
        <v>469</v>
      </c>
      <c r="S1433" s="11"/>
      <c r="T1433" s="6"/>
      <c r="U1433" s="28" t="str">
        <f>HYPERLINK("https://media.infra-m.ru/1010/1010064/cover/1010064.jpg", "Обложка")</f>
        <v>Обложка</v>
      </c>
      <c r="V1433" s="28" t="str">
        <f>HYPERLINK("https://znanium.ru/catalog/product/1010064", "Ознакомиться")</f>
        <v>Ознакомиться</v>
      </c>
      <c r="W1433" s="8" t="s">
        <v>114</v>
      </c>
      <c r="X1433" s="6"/>
      <c r="Y1433" s="6"/>
      <c r="Z1433" s="6"/>
      <c r="AA1433" s="6" t="s">
        <v>302</v>
      </c>
    </row>
    <row r="1434" spans="1:27" s="4" customFormat="1" ht="42" customHeight="1">
      <c r="A1434" s="5">
        <v>0</v>
      </c>
      <c r="B1434" s="6" t="s">
        <v>7701</v>
      </c>
      <c r="C1434" s="7">
        <v>1036.8</v>
      </c>
      <c r="D1434" s="8" t="s">
        <v>7702</v>
      </c>
      <c r="E1434" s="8" t="s">
        <v>7703</v>
      </c>
      <c r="F1434" s="8" t="s">
        <v>7704</v>
      </c>
      <c r="G1434" s="6" t="s">
        <v>58</v>
      </c>
      <c r="H1434" s="6" t="s">
        <v>436</v>
      </c>
      <c r="I1434" s="8" t="s">
        <v>437</v>
      </c>
      <c r="J1434" s="9">
        <v>1</v>
      </c>
      <c r="K1434" s="9">
        <v>192</v>
      </c>
      <c r="L1434" s="9">
        <v>2023</v>
      </c>
      <c r="M1434" s="8" t="s">
        <v>7705</v>
      </c>
      <c r="N1434" s="8" t="s">
        <v>40</v>
      </c>
      <c r="O1434" s="8" t="s">
        <v>41</v>
      </c>
      <c r="P1434" s="6" t="s">
        <v>42</v>
      </c>
      <c r="Q1434" s="8" t="s">
        <v>43</v>
      </c>
      <c r="R1434" s="10" t="s">
        <v>308</v>
      </c>
      <c r="S1434" s="11"/>
      <c r="T1434" s="6"/>
      <c r="U1434" s="28" t="str">
        <f>HYPERLINK("https://media.infra-m.ru/1931/1931472/cover/1931472.jpg", "Обложка")</f>
        <v>Обложка</v>
      </c>
      <c r="V1434" s="28" t="str">
        <f>HYPERLINK("https://znanium.ru/catalog/product/1068796", "Ознакомиться")</f>
        <v>Ознакомиться</v>
      </c>
      <c r="W1434" s="8" t="s">
        <v>439</v>
      </c>
      <c r="X1434" s="6"/>
      <c r="Y1434" s="6"/>
      <c r="Z1434" s="6"/>
      <c r="AA1434" s="6" t="s">
        <v>302</v>
      </c>
    </row>
    <row r="1435" spans="1:27" s="4" customFormat="1" ht="42" customHeight="1">
      <c r="A1435" s="5">
        <v>0</v>
      </c>
      <c r="B1435" s="6" t="s">
        <v>7706</v>
      </c>
      <c r="C1435" s="13">
        <v>917.9</v>
      </c>
      <c r="D1435" s="8" t="s">
        <v>7707</v>
      </c>
      <c r="E1435" s="8" t="s">
        <v>7708</v>
      </c>
      <c r="F1435" s="8" t="s">
        <v>963</v>
      </c>
      <c r="G1435" s="6" t="s">
        <v>58</v>
      </c>
      <c r="H1435" s="6" t="s">
        <v>38</v>
      </c>
      <c r="I1435" s="8"/>
      <c r="J1435" s="9">
        <v>1</v>
      </c>
      <c r="K1435" s="9">
        <v>208</v>
      </c>
      <c r="L1435" s="9">
        <v>2020</v>
      </c>
      <c r="M1435" s="8" t="s">
        <v>7709</v>
      </c>
      <c r="N1435" s="8" t="s">
        <v>40</v>
      </c>
      <c r="O1435" s="8" t="s">
        <v>41</v>
      </c>
      <c r="P1435" s="6" t="s">
        <v>42</v>
      </c>
      <c r="Q1435" s="8" t="s">
        <v>43</v>
      </c>
      <c r="R1435" s="10"/>
      <c r="S1435" s="11"/>
      <c r="T1435" s="6"/>
      <c r="U1435" s="28" t="str">
        <f>HYPERLINK("https://media.infra-m.ru/1074/1074289/cover/1074289.jpg", "Обложка")</f>
        <v>Обложка</v>
      </c>
      <c r="V1435" s="28" t="str">
        <f>HYPERLINK("https://znanium.ru/catalog/product/929118", "Ознакомиться")</f>
        <v>Ознакомиться</v>
      </c>
      <c r="W1435" s="8" t="s">
        <v>124</v>
      </c>
      <c r="X1435" s="6"/>
      <c r="Y1435" s="6"/>
      <c r="Z1435" s="6"/>
      <c r="AA1435" s="6" t="s">
        <v>46</v>
      </c>
    </row>
    <row r="1436" spans="1:27" s="4" customFormat="1" ht="51.95" customHeight="1">
      <c r="A1436" s="5">
        <v>0</v>
      </c>
      <c r="B1436" s="6" t="s">
        <v>7710</v>
      </c>
      <c r="C1436" s="7">
        <v>3480</v>
      </c>
      <c r="D1436" s="8" t="s">
        <v>7711</v>
      </c>
      <c r="E1436" s="8" t="s">
        <v>7712</v>
      </c>
      <c r="F1436" s="8" t="s">
        <v>2009</v>
      </c>
      <c r="G1436" s="6" t="s">
        <v>37</v>
      </c>
      <c r="H1436" s="6" t="s">
        <v>38</v>
      </c>
      <c r="I1436" s="8"/>
      <c r="J1436" s="9">
        <v>1</v>
      </c>
      <c r="K1436" s="9">
        <v>672</v>
      </c>
      <c r="L1436" s="9">
        <v>2023</v>
      </c>
      <c r="M1436" s="8" t="s">
        <v>7713</v>
      </c>
      <c r="N1436" s="8" t="s">
        <v>40</v>
      </c>
      <c r="O1436" s="8" t="s">
        <v>41</v>
      </c>
      <c r="P1436" s="6" t="s">
        <v>75</v>
      </c>
      <c r="Q1436" s="8" t="s">
        <v>76</v>
      </c>
      <c r="R1436" s="10" t="s">
        <v>122</v>
      </c>
      <c r="S1436" s="11" t="s">
        <v>7714</v>
      </c>
      <c r="T1436" s="6"/>
      <c r="U1436" s="28" t="str">
        <f>HYPERLINK("https://media.infra-m.ru/1911/1911648/cover/1911648.jpg", "Обложка")</f>
        <v>Обложка</v>
      </c>
      <c r="V1436" s="12"/>
      <c r="W1436" s="8" t="s">
        <v>423</v>
      </c>
      <c r="X1436" s="6"/>
      <c r="Y1436" s="6"/>
      <c r="Z1436" s="6"/>
      <c r="AA1436" s="6" t="s">
        <v>2005</v>
      </c>
    </row>
    <row r="1437" spans="1:27" s="4" customFormat="1" ht="51.95" customHeight="1">
      <c r="A1437" s="5">
        <v>0</v>
      </c>
      <c r="B1437" s="6" t="s">
        <v>7715</v>
      </c>
      <c r="C1437" s="7">
        <v>3012</v>
      </c>
      <c r="D1437" s="8" t="s">
        <v>7716</v>
      </c>
      <c r="E1437" s="8" t="s">
        <v>7717</v>
      </c>
      <c r="F1437" s="8" t="s">
        <v>2117</v>
      </c>
      <c r="G1437" s="6" t="s">
        <v>58</v>
      </c>
      <c r="H1437" s="6" t="s">
        <v>38</v>
      </c>
      <c r="I1437" s="8"/>
      <c r="J1437" s="9">
        <v>1</v>
      </c>
      <c r="K1437" s="9">
        <v>544</v>
      </c>
      <c r="L1437" s="9">
        <v>2024</v>
      </c>
      <c r="M1437" s="8" t="s">
        <v>7718</v>
      </c>
      <c r="N1437" s="8" t="s">
        <v>40</v>
      </c>
      <c r="O1437" s="8" t="s">
        <v>41</v>
      </c>
      <c r="P1437" s="6" t="s">
        <v>1166</v>
      </c>
      <c r="Q1437" s="8" t="s">
        <v>76</v>
      </c>
      <c r="R1437" s="10" t="s">
        <v>168</v>
      </c>
      <c r="S1437" s="11"/>
      <c r="T1437" s="6"/>
      <c r="U1437" s="28" t="str">
        <f>HYPERLINK("https://media.infra-m.ru/1974/1974288/cover/1974288.jpg", "Обложка")</f>
        <v>Обложка</v>
      </c>
      <c r="V1437" s="28" t="str">
        <f>HYPERLINK("https://znanium.ru/catalog/product/1974288", "Ознакомиться")</f>
        <v>Ознакомиться</v>
      </c>
      <c r="W1437" s="8" t="s">
        <v>114</v>
      </c>
      <c r="X1437" s="6"/>
      <c r="Y1437" s="6"/>
      <c r="Z1437" s="6"/>
      <c r="AA1437" s="6" t="s">
        <v>46</v>
      </c>
    </row>
    <row r="1438" spans="1:27" s="4" customFormat="1" ht="51.95" customHeight="1">
      <c r="A1438" s="5">
        <v>0</v>
      </c>
      <c r="B1438" s="6" t="s">
        <v>7719</v>
      </c>
      <c r="C1438" s="7">
        <v>3228</v>
      </c>
      <c r="D1438" s="8" t="s">
        <v>7720</v>
      </c>
      <c r="E1438" s="8" t="s">
        <v>7721</v>
      </c>
      <c r="F1438" s="8" t="s">
        <v>7722</v>
      </c>
      <c r="G1438" s="6" t="s">
        <v>58</v>
      </c>
      <c r="H1438" s="6" t="s">
        <v>38</v>
      </c>
      <c r="I1438" s="8"/>
      <c r="J1438" s="9">
        <v>1</v>
      </c>
      <c r="K1438" s="9">
        <v>816</v>
      </c>
      <c r="L1438" s="9">
        <v>2024</v>
      </c>
      <c r="M1438" s="8" t="s">
        <v>7723</v>
      </c>
      <c r="N1438" s="8" t="s">
        <v>40</v>
      </c>
      <c r="O1438" s="8" t="s">
        <v>41</v>
      </c>
      <c r="P1438" s="6" t="s">
        <v>1166</v>
      </c>
      <c r="Q1438" s="8" t="s">
        <v>76</v>
      </c>
      <c r="R1438" s="10" t="s">
        <v>234</v>
      </c>
      <c r="S1438" s="11" t="s">
        <v>7714</v>
      </c>
      <c r="T1438" s="6"/>
      <c r="U1438" s="28" t="str">
        <f>HYPERLINK("https://media.infra-m.ru/2114/2114308/cover/2114308.jpg", "Обложка")</f>
        <v>Обложка</v>
      </c>
      <c r="V1438" s="28" t="str">
        <f>HYPERLINK("https://znanium.ru/catalog/product/2114308", "Ознакомиться")</f>
        <v>Ознакомиться</v>
      </c>
      <c r="W1438" s="8" t="s">
        <v>423</v>
      </c>
      <c r="X1438" s="6"/>
      <c r="Y1438" s="6"/>
      <c r="Z1438" s="6"/>
      <c r="AA1438" s="6" t="s">
        <v>2005</v>
      </c>
    </row>
    <row r="1439" spans="1:27" s="4" customFormat="1" ht="44.1" customHeight="1">
      <c r="A1439" s="5">
        <v>0</v>
      </c>
      <c r="B1439" s="6" t="s">
        <v>7724</v>
      </c>
      <c r="C1439" s="7">
        <v>1176</v>
      </c>
      <c r="D1439" s="8" t="s">
        <v>7725</v>
      </c>
      <c r="E1439" s="8" t="s">
        <v>7726</v>
      </c>
      <c r="F1439" s="8" t="s">
        <v>7727</v>
      </c>
      <c r="G1439" s="6" t="s">
        <v>58</v>
      </c>
      <c r="H1439" s="6" t="s">
        <v>38</v>
      </c>
      <c r="I1439" s="8"/>
      <c r="J1439" s="9">
        <v>1</v>
      </c>
      <c r="K1439" s="9">
        <v>208</v>
      </c>
      <c r="L1439" s="9">
        <v>2024</v>
      </c>
      <c r="M1439" s="8" t="s">
        <v>7728</v>
      </c>
      <c r="N1439" s="8" t="s">
        <v>40</v>
      </c>
      <c r="O1439" s="8" t="s">
        <v>41</v>
      </c>
      <c r="P1439" s="6" t="s">
        <v>42</v>
      </c>
      <c r="Q1439" s="8" t="s">
        <v>43</v>
      </c>
      <c r="R1439" s="10" t="s">
        <v>7729</v>
      </c>
      <c r="S1439" s="11"/>
      <c r="T1439" s="6"/>
      <c r="U1439" s="28" t="str">
        <f>HYPERLINK("https://media.infra-m.ru/2138/2138189/cover/2138189.jpg", "Обложка")</f>
        <v>Обложка</v>
      </c>
      <c r="V1439" s="28" t="str">
        <f>HYPERLINK("https://znanium.ru/catalog/product/2138189", "Ознакомиться")</f>
        <v>Ознакомиться</v>
      </c>
      <c r="W1439" s="8" t="s">
        <v>45</v>
      </c>
      <c r="X1439" s="6" t="s">
        <v>2400</v>
      </c>
      <c r="Y1439" s="6"/>
      <c r="Z1439" s="6"/>
      <c r="AA1439" s="6" t="s">
        <v>100</v>
      </c>
    </row>
    <row r="1440" spans="1:27" s="4" customFormat="1" ht="51.95" customHeight="1">
      <c r="A1440" s="5">
        <v>0</v>
      </c>
      <c r="B1440" s="6" t="s">
        <v>7730</v>
      </c>
      <c r="C1440" s="13">
        <v>875.9</v>
      </c>
      <c r="D1440" s="8" t="s">
        <v>7731</v>
      </c>
      <c r="E1440" s="8" t="s">
        <v>7732</v>
      </c>
      <c r="F1440" s="8" t="s">
        <v>57</v>
      </c>
      <c r="G1440" s="6" t="s">
        <v>58</v>
      </c>
      <c r="H1440" s="6" t="s">
        <v>38</v>
      </c>
      <c r="I1440" s="8"/>
      <c r="J1440" s="9">
        <v>12</v>
      </c>
      <c r="K1440" s="9">
        <v>416</v>
      </c>
      <c r="L1440" s="9">
        <v>2016</v>
      </c>
      <c r="M1440" s="8" t="s">
        <v>7733</v>
      </c>
      <c r="N1440" s="8" t="s">
        <v>40</v>
      </c>
      <c r="O1440" s="8" t="s">
        <v>41</v>
      </c>
      <c r="P1440" s="6" t="s">
        <v>42</v>
      </c>
      <c r="Q1440" s="8" t="s">
        <v>43</v>
      </c>
      <c r="R1440" s="10" t="s">
        <v>1661</v>
      </c>
      <c r="S1440" s="11"/>
      <c r="T1440" s="6"/>
      <c r="U1440" s="28" t="str">
        <f>HYPERLINK("https://media.infra-m.ru/0549/0549699/cover/549699.jpg", "Обложка")</f>
        <v>Обложка</v>
      </c>
      <c r="V1440" s="28" t="str">
        <f>HYPERLINK("https://znanium.ru/catalog/product/549699", "Ознакомиться")</f>
        <v>Ознакомиться</v>
      </c>
      <c r="W1440" s="8" t="s">
        <v>61</v>
      </c>
      <c r="X1440" s="6"/>
      <c r="Y1440" s="6"/>
      <c r="Z1440" s="6"/>
      <c r="AA1440" s="6" t="s">
        <v>214</v>
      </c>
    </row>
    <row r="1441" spans="1:27" s="4" customFormat="1" ht="42" customHeight="1">
      <c r="A1441" s="5">
        <v>0</v>
      </c>
      <c r="B1441" s="6" t="s">
        <v>7734</v>
      </c>
      <c r="C1441" s="7">
        <v>1092</v>
      </c>
      <c r="D1441" s="8" t="s">
        <v>7735</v>
      </c>
      <c r="E1441" s="8" t="s">
        <v>7736</v>
      </c>
      <c r="F1441" s="8" t="s">
        <v>1532</v>
      </c>
      <c r="G1441" s="6" t="s">
        <v>58</v>
      </c>
      <c r="H1441" s="6" t="s">
        <v>84</v>
      </c>
      <c r="I1441" s="8" t="s">
        <v>250</v>
      </c>
      <c r="J1441" s="9">
        <v>1</v>
      </c>
      <c r="K1441" s="9">
        <v>191</v>
      </c>
      <c r="L1441" s="9">
        <v>2024</v>
      </c>
      <c r="M1441" s="8" t="s">
        <v>7737</v>
      </c>
      <c r="N1441" s="8" t="s">
        <v>40</v>
      </c>
      <c r="O1441" s="8" t="s">
        <v>41</v>
      </c>
      <c r="P1441" s="6" t="s">
        <v>42</v>
      </c>
      <c r="Q1441" s="8" t="s">
        <v>43</v>
      </c>
      <c r="R1441" s="10" t="s">
        <v>1376</v>
      </c>
      <c r="S1441" s="11"/>
      <c r="T1441" s="6"/>
      <c r="U1441" s="28" t="str">
        <f>HYPERLINK("https://media.infra-m.ru/2082/2082653/cover/2082653.jpg", "Обложка")</f>
        <v>Обложка</v>
      </c>
      <c r="V1441" s="28" t="str">
        <f>HYPERLINK("https://znanium.ru/catalog/product/2082653", "Ознакомиться")</f>
        <v>Ознакомиться</v>
      </c>
      <c r="W1441" s="8" t="s">
        <v>114</v>
      </c>
      <c r="X1441" s="6" t="s">
        <v>447</v>
      </c>
      <c r="Y1441" s="6"/>
      <c r="Z1441" s="6"/>
      <c r="AA1441" s="6" t="s">
        <v>100</v>
      </c>
    </row>
    <row r="1442" spans="1:27" s="4" customFormat="1" ht="42" customHeight="1">
      <c r="A1442" s="5">
        <v>0</v>
      </c>
      <c r="B1442" s="6" t="s">
        <v>7738</v>
      </c>
      <c r="C1442" s="7">
        <v>1168.8</v>
      </c>
      <c r="D1442" s="8" t="s">
        <v>7739</v>
      </c>
      <c r="E1442" s="8" t="s">
        <v>7740</v>
      </c>
      <c r="F1442" s="8" t="s">
        <v>7741</v>
      </c>
      <c r="G1442" s="6" t="s">
        <v>51</v>
      </c>
      <c r="H1442" s="6" t="s">
        <v>38</v>
      </c>
      <c r="I1442" s="8"/>
      <c r="J1442" s="9">
        <v>5</v>
      </c>
      <c r="K1442" s="9">
        <v>208</v>
      </c>
      <c r="L1442" s="9">
        <v>2024</v>
      </c>
      <c r="M1442" s="8" t="s">
        <v>7742</v>
      </c>
      <c r="N1442" s="8" t="s">
        <v>40</v>
      </c>
      <c r="O1442" s="8" t="s">
        <v>41</v>
      </c>
      <c r="P1442" s="6" t="s">
        <v>42</v>
      </c>
      <c r="Q1442" s="8" t="s">
        <v>43</v>
      </c>
      <c r="R1442" s="10" t="s">
        <v>308</v>
      </c>
      <c r="S1442" s="11"/>
      <c r="T1442" s="6"/>
      <c r="U1442" s="28" t="str">
        <f>HYPERLINK("https://media.infra-m.ru/1911/1911792/cover/1911792.jpg", "Обложка")</f>
        <v>Обложка</v>
      </c>
      <c r="V1442" s="28" t="str">
        <f>HYPERLINK("https://znanium.ru/catalog/product/1007473", "Ознакомиться")</f>
        <v>Ознакомиться</v>
      </c>
      <c r="W1442" s="8" t="s">
        <v>194</v>
      </c>
      <c r="X1442" s="6"/>
      <c r="Y1442" s="6"/>
      <c r="Z1442" s="6"/>
      <c r="AA1442" s="6" t="s">
        <v>302</v>
      </c>
    </row>
    <row r="1443" spans="1:27" s="4" customFormat="1" ht="44.1" customHeight="1">
      <c r="A1443" s="5">
        <v>0</v>
      </c>
      <c r="B1443" s="6" t="s">
        <v>7743</v>
      </c>
      <c r="C1443" s="7">
        <v>2116.8000000000002</v>
      </c>
      <c r="D1443" s="8" t="s">
        <v>7744</v>
      </c>
      <c r="E1443" s="8" t="s">
        <v>7745</v>
      </c>
      <c r="F1443" s="8" t="s">
        <v>7746</v>
      </c>
      <c r="G1443" s="6" t="s">
        <v>58</v>
      </c>
      <c r="H1443" s="6" t="s">
        <v>38</v>
      </c>
      <c r="I1443" s="8"/>
      <c r="J1443" s="9">
        <v>1</v>
      </c>
      <c r="K1443" s="9">
        <v>384</v>
      </c>
      <c r="L1443" s="9">
        <v>2024</v>
      </c>
      <c r="M1443" s="8" t="s">
        <v>7747</v>
      </c>
      <c r="N1443" s="8" t="s">
        <v>40</v>
      </c>
      <c r="O1443" s="8" t="s">
        <v>41</v>
      </c>
      <c r="P1443" s="6" t="s">
        <v>42</v>
      </c>
      <c r="Q1443" s="8" t="s">
        <v>43</v>
      </c>
      <c r="R1443" s="10" t="s">
        <v>749</v>
      </c>
      <c r="S1443" s="11"/>
      <c r="T1443" s="6"/>
      <c r="U1443" s="28" t="str">
        <f>HYPERLINK("https://media.infra-m.ru/1895/1895235/cover/1895235.jpg", "Обложка")</f>
        <v>Обложка</v>
      </c>
      <c r="V1443" s="28" t="str">
        <f>HYPERLINK("https://znanium.ru/catalog/product/1206686", "Ознакомиться")</f>
        <v>Ознакомиться</v>
      </c>
      <c r="W1443" s="8" t="s">
        <v>78</v>
      </c>
      <c r="X1443" s="6"/>
      <c r="Y1443" s="6"/>
      <c r="Z1443" s="6"/>
      <c r="AA1443" s="6" t="s">
        <v>750</v>
      </c>
    </row>
    <row r="1444" spans="1:27" s="4" customFormat="1" ht="51.95" customHeight="1">
      <c r="A1444" s="5">
        <v>0</v>
      </c>
      <c r="B1444" s="6" t="s">
        <v>7748</v>
      </c>
      <c r="C1444" s="7">
        <v>1776</v>
      </c>
      <c r="D1444" s="8" t="s">
        <v>7749</v>
      </c>
      <c r="E1444" s="8" t="s">
        <v>7750</v>
      </c>
      <c r="F1444" s="8" t="s">
        <v>7751</v>
      </c>
      <c r="G1444" s="6" t="s">
        <v>51</v>
      </c>
      <c r="H1444" s="6" t="s">
        <v>84</v>
      </c>
      <c r="I1444" s="8" t="s">
        <v>250</v>
      </c>
      <c r="J1444" s="9">
        <v>1</v>
      </c>
      <c r="K1444" s="9">
        <v>324</v>
      </c>
      <c r="L1444" s="9">
        <v>2023</v>
      </c>
      <c r="M1444" s="8" t="s">
        <v>7752</v>
      </c>
      <c r="N1444" s="8" t="s">
        <v>40</v>
      </c>
      <c r="O1444" s="8" t="s">
        <v>41</v>
      </c>
      <c r="P1444" s="6" t="s">
        <v>42</v>
      </c>
      <c r="Q1444" s="8" t="s">
        <v>43</v>
      </c>
      <c r="R1444" s="10" t="s">
        <v>469</v>
      </c>
      <c r="S1444" s="11"/>
      <c r="T1444" s="6"/>
      <c r="U1444" s="28" t="str">
        <f>HYPERLINK("https://media.infra-m.ru/1895/1895632/cover/1895632.jpg", "Обложка")</f>
        <v>Обложка</v>
      </c>
      <c r="V1444" s="28" t="str">
        <f>HYPERLINK("https://znanium.ru/catalog/product/1895632", "Ознакомиться")</f>
        <v>Ознакомиться</v>
      </c>
      <c r="W1444" s="8" t="s">
        <v>236</v>
      </c>
      <c r="X1444" s="6"/>
      <c r="Y1444" s="6"/>
      <c r="Z1444" s="6"/>
      <c r="AA1444" s="6" t="s">
        <v>46</v>
      </c>
    </row>
    <row r="1445" spans="1:27" s="4" customFormat="1" ht="51.95" customHeight="1">
      <c r="A1445" s="5">
        <v>0</v>
      </c>
      <c r="B1445" s="6" t="s">
        <v>7753</v>
      </c>
      <c r="C1445" s="7">
        <v>3564</v>
      </c>
      <c r="D1445" s="8" t="s">
        <v>7754</v>
      </c>
      <c r="E1445" s="8" t="s">
        <v>7755</v>
      </c>
      <c r="F1445" s="8" t="s">
        <v>7756</v>
      </c>
      <c r="G1445" s="6" t="s">
        <v>58</v>
      </c>
      <c r="H1445" s="6" t="s">
        <v>38</v>
      </c>
      <c r="I1445" s="8"/>
      <c r="J1445" s="9">
        <v>1</v>
      </c>
      <c r="K1445" s="9">
        <v>576</v>
      </c>
      <c r="L1445" s="9">
        <v>2023</v>
      </c>
      <c r="M1445" s="8" t="s">
        <v>7757</v>
      </c>
      <c r="N1445" s="8" t="s">
        <v>40</v>
      </c>
      <c r="O1445" s="8" t="s">
        <v>41</v>
      </c>
      <c r="P1445" s="6" t="s">
        <v>42</v>
      </c>
      <c r="Q1445" s="8" t="s">
        <v>43</v>
      </c>
      <c r="R1445" s="10" t="s">
        <v>496</v>
      </c>
      <c r="S1445" s="11"/>
      <c r="T1445" s="6"/>
      <c r="U1445" s="28" t="str">
        <f>HYPERLINK("https://media.infra-m.ru/2001/2001616/cover/2001616.jpg", "Обложка")</f>
        <v>Обложка</v>
      </c>
      <c r="V1445" s="28" t="str">
        <f>HYPERLINK("https://znanium.ru/catalog/product/1915630", "Ознакомиться")</f>
        <v>Ознакомиться</v>
      </c>
      <c r="W1445" s="8" t="s">
        <v>5179</v>
      </c>
      <c r="X1445" s="6"/>
      <c r="Y1445" s="6"/>
      <c r="Z1445" s="6"/>
      <c r="AA1445" s="6" t="s">
        <v>417</v>
      </c>
    </row>
    <row r="1446" spans="1:27" s="4" customFormat="1" ht="42" customHeight="1">
      <c r="A1446" s="5">
        <v>0</v>
      </c>
      <c r="B1446" s="6" t="s">
        <v>7758</v>
      </c>
      <c r="C1446" s="7">
        <v>2004</v>
      </c>
      <c r="D1446" s="8" t="s">
        <v>7759</v>
      </c>
      <c r="E1446" s="8" t="s">
        <v>7760</v>
      </c>
      <c r="F1446" s="8" t="s">
        <v>7761</v>
      </c>
      <c r="G1446" s="6" t="s">
        <v>37</v>
      </c>
      <c r="H1446" s="6" t="s">
        <v>38</v>
      </c>
      <c r="I1446" s="8"/>
      <c r="J1446" s="9">
        <v>1</v>
      </c>
      <c r="K1446" s="9">
        <v>280</v>
      </c>
      <c r="L1446" s="9">
        <v>2024</v>
      </c>
      <c r="M1446" s="8" t="s">
        <v>7762</v>
      </c>
      <c r="N1446" s="8" t="s">
        <v>40</v>
      </c>
      <c r="O1446" s="8" t="s">
        <v>41</v>
      </c>
      <c r="P1446" s="6" t="s">
        <v>42</v>
      </c>
      <c r="Q1446" s="8" t="s">
        <v>43</v>
      </c>
      <c r="R1446" s="10" t="s">
        <v>69</v>
      </c>
      <c r="S1446" s="11"/>
      <c r="T1446" s="6"/>
      <c r="U1446" s="28" t="str">
        <f>HYPERLINK("https://media.infra-m.ru/2131/2131371/cover/2131371.jpg", "Обложка")</f>
        <v>Обложка</v>
      </c>
      <c r="V1446" s="28" t="str">
        <f>HYPERLINK("https://znanium.ru/catalog/product/2131371", "Ознакомиться")</f>
        <v>Ознакомиться</v>
      </c>
      <c r="W1446" s="8" t="s">
        <v>3985</v>
      </c>
      <c r="X1446" s="6"/>
      <c r="Y1446" s="6"/>
      <c r="Z1446" s="6"/>
      <c r="AA1446" s="6" t="s">
        <v>417</v>
      </c>
    </row>
    <row r="1447" spans="1:27" s="4" customFormat="1" ht="42" customHeight="1">
      <c r="A1447" s="5">
        <v>0</v>
      </c>
      <c r="B1447" s="6" t="s">
        <v>7763</v>
      </c>
      <c r="C1447" s="7">
        <v>1548</v>
      </c>
      <c r="D1447" s="8" t="s">
        <v>7764</v>
      </c>
      <c r="E1447" s="8" t="s">
        <v>7765</v>
      </c>
      <c r="F1447" s="8" t="s">
        <v>7766</v>
      </c>
      <c r="G1447" s="6" t="s">
        <v>37</v>
      </c>
      <c r="H1447" s="6" t="s">
        <v>38</v>
      </c>
      <c r="I1447" s="8"/>
      <c r="J1447" s="9">
        <v>1</v>
      </c>
      <c r="K1447" s="9">
        <v>280</v>
      </c>
      <c r="L1447" s="9">
        <v>2024</v>
      </c>
      <c r="M1447" s="8" t="s">
        <v>7767</v>
      </c>
      <c r="N1447" s="8" t="s">
        <v>40</v>
      </c>
      <c r="O1447" s="8" t="s">
        <v>41</v>
      </c>
      <c r="P1447" s="6" t="s">
        <v>42</v>
      </c>
      <c r="Q1447" s="8" t="s">
        <v>43</v>
      </c>
      <c r="R1447" s="10" t="s">
        <v>308</v>
      </c>
      <c r="S1447" s="11"/>
      <c r="T1447" s="6"/>
      <c r="U1447" s="28" t="str">
        <f>HYPERLINK("https://media.infra-m.ru/2125/2125593/cover/2125593.jpg", "Обложка")</f>
        <v>Обложка</v>
      </c>
      <c r="V1447" s="28" t="str">
        <f>HYPERLINK("https://znanium.ru/catalog/product/2125593", "Ознакомиться")</f>
        <v>Ознакомиться</v>
      </c>
      <c r="W1447" s="8" t="s">
        <v>78</v>
      </c>
      <c r="X1447" s="6"/>
      <c r="Y1447" s="6"/>
      <c r="Z1447" s="6"/>
      <c r="AA1447" s="6" t="s">
        <v>79</v>
      </c>
    </row>
    <row r="1448" spans="1:27" s="4" customFormat="1" ht="51.95" customHeight="1">
      <c r="A1448" s="5">
        <v>0</v>
      </c>
      <c r="B1448" s="6" t="s">
        <v>7768</v>
      </c>
      <c r="C1448" s="13">
        <v>816</v>
      </c>
      <c r="D1448" s="8" t="s">
        <v>7769</v>
      </c>
      <c r="E1448" s="8" t="s">
        <v>7770</v>
      </c>
      <c r="F1448" s="8" t="s">
        <v>7771</v>
      </c>
      <c r="G1448" s="6" t="s">
        <v>37</v>
      </c>
      <c r="H1448" s="6" t="s">
        <v>84</v>
      </c>
      <c r="I1448" s="8" t="s">
        <v>93</v>
      </c>
      <c r="J1448" s="9">
        <v>1</v>
      </c>
      <c r="K1448" s="9">
        <v>133</v>
      </c>
      <c r="L1448" s="9">
        <v>2024</v>
      </c>
      <c r="M1448" s="8" t="s">
        <v>7772</v>
      </c>
      <c r="N1448" s="8" t="s">
        <v>40</v>
      </c>
      <c r="O1448" s="8" t="s">
        <v>41</v>
      </c>
      <c r="P1448" s="6" t="s">
        <v>75</v>
      </c>
      <c r="Q1448" s="8" t="s">
        <v>96</v>
      </c>
      <c r="R1448" s="10" t="s">
        <v>97</v>
      </c>
      <c r="S1448" s="11" t="s">
        <v>7773</v>
      </c>
      <c r="T1448" s="6"/>
      <c r="U1448" s="28" t="str">
        <f>HYPERLINK("https://media.infra-m.ru/2125/2125930/cover/2125930.jpg", "Обложка")</f>
        <v>Обложка</v>
      </c>
      <c r="V1448" s="28" t="str">
        <f>HYPERLINK("https://znanium.ru/catalog/product/2125930", "Ознакомиться")</f>
        <v>Ознакомиться</v>
      </c>
      <c r="W1448" s="8" t="s">
        <v>6355</v>
      </c>
      <c r="X1448" s="6"/>
      <c r="Y1448" s="6"/>
      <c r="Z1448" s="6"/>
      <c r="AA1448" s="6" t="s">
        <v>208</v>
      </c>
    </row>
    <row r="1449" spans="1:27" s="4" customFormat="1" ht="51.95" customHeight="1">
      <c r="A1449" s="5">
        <v>0</v>
      </c>
      <c r="B1449" s="6" t="s">
        <v>7774</v>
      </c>
      <c r="C1449" s="13">
        <v>833.9</v>
      </c>
      <c r="D1449" s="8" t="s">
        <v>7775</v>
      </c>
      <c r="E1449" s="8" t="s">
        <v>7776</v>
      </c>
      <c r="F1449" s="8" t="s">
        <v>7777</v>
      </c>
      <c r="G1449" s="6" t="s">
        <v>58</v>
      </c>
      <c r="H1449" s="6" t="s">
        <v>191</v>
      </c>
      <c r="I1449" s="8" t="s">
        <v>2209</v>
      </c>
      <c r="J1449" s="9">
        <v>1</v>
      </c>
      <c r="K1449" s="9">
        <v>240</v>
      </c>
      <c r="L1449" s="9">
        <v>2018</v>
      </c>
      <c r="M1449" s="8" t="s">
        <v>7778</v>
      </c>
      <c r="N1449" s="8" t="s">
        <v>40</v>
      </c>
      <c r="O1449" s="8" t="s">
        <v>41</v>
      </c>
      <c r="P1449" s="6" t="s">
        <v>75</v>
      </c>
      <c r="Q1449" s="8" t="s">
        <v>96</v>
      </c>
      <c r="R1449" s="10" t="s">
        <v>97</v>
      </c>
      <c r="S1449" s="11" t="s">
        <v>7779</v>
      </c>
      <c r="T1449" s="6"/>
      <c r="U1449" s="28" t="str">
        <f>HYPERLINK("https://media.infra-m.ru/0937/0937327/cover/937327.jpg", "Обложка")</f>
        <v>Обложка</v>
      </c>
      <c r="V1449" s="28" t="str">
        <f>HYPERLINK("https://znanium.ru/catalog/product/2125930", "Ознакомиться")</f>
        <v>Ознакомиться</v>
      </c>
      <c r="W1449" s="8" t="s">
        <v>6355</v>
      </c>
      <c r="X1449" s="6"/>
      <c r="Y1449" s="6"/>
      <c r="Z1449" s="6"/>
      <c r="AA1449" s="6" t="s">
        <v>3192</v>
      </c>
    </row>
    <row r="1450" spans="1:27" s="4" customFormat="1" ht="51.95" customHeight="1">
      <c r="A1450" s="5">
        <v>0</v>
      </c>
      <c r="B1450" s="6" t="s">
        <v>7780</v>
      </c>
      <c r="C1450" s="7">
        <v>2153.9</v>
      </c>
      <c r="D1450" s="8" t="s">
        <v>7781</v>
      </c>
      <c r="E1450" s="8" t="s">
        <v>7782</v>
      </c>
      <c r="F1450" s="8" t="s">
        <v>7783</v>
      </c>
      <c r="G1450" s="6" t="s">
        <v>37</v>
      </c>
      <c r="H1450" s="6" t="s">
        <v>191</v>
      </c>
      <c r="I1450" s="8" t="s">
        <v>93</v>
      </c>
      <c r="J1450" s="9">
        <v>1</v>
      </c>
      <c r="K1450" s="9">
        <v>399</v>
      </c>
      <c r="L1450" s="9">
        <v>2023</v>
      </c>
      <c r="M1450" s="8" t="s">
        <v>7784</v>
      </c>
      <c r="N1450" s="8" t="s">
        <v>40</v>
      </c>
      <c r="O1450" s="8" t="s">
        <v>41</v>
      </c>
      <c r="P1450" s="6" t="s">
        <v>95</v>
      </c>
      <c r="Q1450" s="8" t="s">
        <v>96</v>
      </c>
      <c r="R1450" s="10" t="s">
        <v>97</v>
      </c>
      <c r="S1450" s="11" t="s">
        <v>7785</v>
      </c>
      <c r="T1450" s="6"/>
      <c r="U1450" s="28" t="str">
        <f>HYPERLINK("https://media.infra-m.ru/1986/1986698/cover/1986698.jpg", "Обложка")</f>
        <v>Обложка</v>
      </c>
      <c r="V1450" s="28" t="str">
        <f>HYPERLINK("https://znanium.ru/catalog/product/1862398", "Ознакомиться")</f>
        <v>Ознакомиться</v>
      </c>
      <c r="W1450" s="8" t="s">
        <v>114</v>
      </c>
      <c r="X1450" s="6"/>
      <c r="Y1450" s="6"/>
      <c r="Z1450" s="6"/>
      <c r="AA1450" s="6" t="s">
        <v>3163</v>
      </c>
    </row>
    <row r="1451" spans="1:27" s="4" customFormat="1" ht="51.95" customHeight="1">
      <c r="A1451" s="5">
        <v>0</v>
      </c>
      <c r="B1451" s="6" t="s">
        <v>7786</v>
      </c>
      <c r="C1451" s="7">
        <v>2976</v>
      </c>
      <c r="D1451" s="8" t="s">
        <v>7787</v>
      </c>
      <c r="E1451" s="8" t="s">
        <v>7788</v>
      </c>
      <c r="F1451" s="8" t="s">
        <v>7789</v>
      </c>
      <c r="G1451" s="6" t="s">
        <v>58</v>
      </c>
      <c r="H1451" s="6" t="s">
        <v>84</v>
      </c>
      <c r="I1451" s="8" t="s">
        <v>1173</v>
      </c>
      <c r="J1451" s="9">
        <v>1</v>
      </c>
      <c r="K1451" s="9">
        <v>538</v>
      </c>
      <c r="L1451" s="9">
        <v>2024</v>
      </c>
      <c r="M1451" s="8" t="s">
        <v>7790</v>
      </c>
      <c r="N1451" s="8" t="s">
        <v>40</v>
      </c>
      <c r="O1451" s="8" t="s">
        <v>41</v>
      </c>
      <c r="P1451" s="6" t="s">
        <v>95</v>
      </c>
      <c r="Q1451" s="8" t="s">
        <v>1231</v>
      </c>
      <c r="R1451" s="10" t="s">
        <v>7791</v>
      </c>
      <c r="S1451" s="11" t="s">
        <v>7792</v>
      </c>
      <c r="T1451" s="6"/>
      <c r="U1451" s="28" t="str">
        <f>HYPERLINK("https://media.infra-m.ru/2133/2133547/cover/2133547.jpg", "Обложка")</f>
        <v>Обложка</v>
      </c>
      <c r="V1451" s="28" t="str">
        <f>HYPERLINK("https://znanium.ru/catalog/product/2133547", "Ознакомиться")</f>
        <v>Ознакомиться</v>
      </c>
      <c r="W1451" s="8"/>
      <c r="X1451" s="6"/>
      <c r="Y1451" s="6"/>
      <c r="Z1451" s="6"/>
      <c r="AA1451" s="6" t="s">
        <v>353</v>
      </c>
    </row>
    <row r="1452" spans="1:27" s="4" customFormat="1" ht="51.95" customHeight="1">
      <c r="A1452" s="5">
        <v>0</v>
      </c>
      <c r="B1452" s="6" t="s">
        <v>7793</v>
      </c>
      <c r="C1452" s="7">
        <v>2849.9</v>
      </c>
      <c r="D1452" s="8" t="s">
        <v>7794</v>
      </c>
      <c r="E1452" s="8" t="s">
        <v>7795</v>
      </c>
      <c r="F1452" s="8" t="s">
        <v>1728</v>
      </c>
      <c r="G1452" s="6" t="s">
        <v>37</v>
      </c>
      <c r="H1452" s="6" t="s">
        <v>38</v>
      </c>
      <c r="I1452" s="8" t="s">
        <v>1769</v>
      </c>
      <c r="J1452" s="9">
        <v>1</v>
      </c>
      <c r="K1452" s="9">
        <v>528</v>
      </c>
      <c r="L1452" s="9">
        <v>2023</v>
      </c>
      <c r="M1452" s="8" t="s">
        <v>7796</v>
      </c>
      <c r="N1452" s="8" t="s">
        <v>40</v>
      </c>
      <c r="O1452" s="8" t="s">
        <v>41</v>
      </c>
      <c r="P1452" s="6" t="s">
        <v>95</v>
      </c>
      <c r="Q1452" s="8" t="s">
        <v>76</v>
      </c>
      <c r="R1452" s="10" t="s">
        <v>7797</v>
      </c>
      <c r="S1452" s="11" t="s">
        <v>1772</v>
      </c>
      <c r="T1452" s="6"/>
      <c r="U1452" s="28" t="str">
        <f>HYPERLINK("https://media.infra-m.ru/1913/1913001/cover/1913001.jpg", "Обложка")</f>
        <v>Обложка</v>
      </c>
      <c r="V1452" s="28" t="str">
        <f>HYPERLINK("https://znanium.ru/catalog/product/1904292", "Ознакомиться")</f>
        <v>Ознакомиться</v>
      </c>
      <c r="W1452" s="8" t="s">
        <v>423</v>
      </c>
      <c r="X1452" s="6"/>
      <c r="Y1452" s="6"/>
      <c r="Z1452" s="6"/>
      <c r="AA1452" s="6" t="s">
        <v>2626</v>
      </c>
    </row>
    <row r="1453" spans="1:27" s="4" customFormat="1" ht="42" customHeight="1">
      <c r="A1453" s="5">
        <v>0</v>
      </c>
      <c r="B1453" s="6" t="s">
        <v>7798</v>
      </c>
      <c r="C1453" s="13">
        <v>984</v>
      </c>
      <c r="D1453" s="8" t="s">
        <v>7799</v>
      </c>
      <c r="E1453" s="8" t="s">
        <v>7800</v>
      </c>
      <c r="F1453" s="8" t="s">
        <v>7801</v>
      </c>
      <c r="G1453" s="6" t="s">
        <v>58</v>
      </c>
      <c r="H1453" s="6" t="s">
        <v>84</v>
      </c>
      <c r="I1453" s="8" t="s">
        <v>85</v>
      </c>
      <c r="J1453" s="9">
        <v>1</v>
      </c>
      <c r="K1453" s="9">
        <v>192</v>
      </c>
      <c r="L1453" s="9">
        <v>2022</v>
      </c>
      <c r="M1453" s="8" t="s">
        <v>7802</v>
      </c>
      <c r="N1453" s="8" t="s">
        <v>40</v>
      </c>
      <c r="O1453" s="8" t="s">
        <v>41</v>
      </c>
      <c r="P1453" s="6" t="s">
        <v>42</v>
      </c>
      <c r="Q1453" s="8" t="s">
        <v>43</v>
      </c>
      <c r="R1453" s="10" t="s">
        <v>7803</v>
      </c>
      <c r="S1453" s="11"/>
      <c r="T1453" s="6"/>
      <c r="U1453" s="28" t="str">
        <f>HYPERLINK("https://media.infra-m.ru/1867/1867000/cover/1867000.jpg", "Обложка")</f>
        <v>Обложка</v>
      </c>
      <c r="V1453" s="28" t="str">
        <f>HYPERLINK("https://znanium.ru/catalog/product/1905502", "Ознакомиться")</f>
        <v>Ознакомиться</v>
      </c>
      <c r="W1453" s="8" t="s">
        <v>45</v>
      </c>
      <c r="X1453" s="6"/>
      <c r="Y1453" s="6"/>
      <c r="Z1453" s="6"/>
      <c r="AA1453" s="6" t="s">
        <v>353</v>
      </c>
    </row>
    <row r="1454" spans="1:27" s="4" customFormat="1" ht="42" customHeight="1">
      <c r="A1454" s="5">
        <v>0</v>
      </c>
      <c r="B1454" s="6" t="s">
        <v>7804</v>
      </c>
      <c r="C1454" s="7">
        <v>1480.8</v>
      </c>
      <c r="D1454" s="8" t="s">
        <v>7805</v>
      </c>
      <c r="E1454" s="8" t="s">
        <v>7806</v>
      </c>
      <c r="F1454" s="8" t="s">
        <v>7807</v>
      </c>
      <c r="G1454" s="6" t="s">
        <v>58</v>
      </c>
      <c r="H1454" s="6" t="s">
        <v>38</v>
      </c>
      <c r="I1454" s="8"/>
      <c r="J1454" s="9">
        <v>1</v>
      </c>
      <c r="K1454" s="9">
        <v>272</v>
      </c>
      <c r="L1454" s="9">
        <v>2023</v>
      </c>
      <c r="M1454" s="8" t="s">
        <v>7808</v>
      </c>
      <c r="N1454" s="8" t="s">
        <v>40</v>
      </c>
      <c r="O1454" s="8" t="s">
        <v>41</v>
      </c>
      <c r="P1454" s="6" t="s">
        <v>42</v>
      </c>
      <c r="Q1454" s="8" t="s">
        <v>43</v>
      </c>
      <c r="R1454" s="10" t="s">
        <v>314</v>
      </c>
      <c r="S1454" s="11"/>
      <c r="T1454" s="6"/>
      <c r="U1454" s="28" t="str">
        <f>HYPERLINK("https://media.infra-m.ru/1978/1978043/cover/1978043.jpg", "Обложка")</f>
        <v>Обложка</v>
      </c>
      <c r="V1454" s="28" t="str">
        <f>HYPERLINK("https://znanium.ru/catalog/product/1585104", "Ознакомиться")</f>
        <v>Ознакомиться</v>
      </c>
      <c r="W1454" s="8" t="s">
        <v>236</v>
      </c>
      <c r="X1454" s="6"/>
      <c r="Y1454" s="6"/>
      <c r="Z1454" s="6"/>
      <c r="AA1454" s="6" t="s">
        <v>148</v>
      </c>
    </row>
    <row r="1455" spans="1:27" s="4" customFormat="1" ht="51.95" customHeight="1">
      <c r="A1455" s="5">
        <v>0</v>
      </c>
      <c r="B1455" s="6" t="s">
        <v>7809</v>
      </c>
      <c r="C1455" s="7">
        <v>1001.9</v>
      </c>
      <c r="D1455" s="8" t="s">
        <v>7810</v>
      </c>
      <c r="E1455" s="8" t="s">
        <v>7811</v>
      </c>
      <c r="F1455" s="8" t="s">
        <v>7812</v>
      </c>
      <c r="G1455" s="6" t="s">
        <v>51</v>
      </c>
      <c r="H1455" s="6" t="s">
        <v>38</v>
      </c>
      <c r="I1455" s="8"/>
      <c r="J1455" s="9">
        <v>1</v>
      </c>
      <c r="K1455" s="9">
        <v>176</v>
      </c>
      <c r="L1455" s="9">
        <v>2024</v>
      </c>
      <c r="M1455" s="8" t="s">
        <v>7813</v>
      </c>
      <c r="N1455" s="8" t="s">
        <v>40</v>
      </c>
      <c r="O1455" s="8" t="s">
        <v>41</v>
      </c>
      <c r="P1455" s="6" t="s">
        <v>841</v>
      </c>
      <c r="Q1455" s="8" t="s">
        <v>43</v>
      </c>
      <c r="R1455" s="10" t="s">
        <v>7814</v>
      </c>
      <c r="S1455" s="11"/>
      <c r="T1455" s="6"/>
      <c r="U1455" s="28" t="str">
        <f>HYPERLINK("https://media.infra-m.ru/2115/2115199/cover/2115199.jpg", "Обложка")</f>
        <v>Обложка</v>
      </c>
      <c r="V1455" s="28" t="str">
        <f>HYPERLINK("https://znanium.ru/catalog/product/1429044", "Ознакомиться")</f>
        <v>Ознакомиться</v>
      </c>
      <c r="W1455" s="8" t="s">
        <v>7815</v>
      </c>
      <c r="X1455" s="6"/>
      <c r="Y1455" s="6"/>
      <c r="Z1455" s="6"/>
      <c r="AA1455" s="6" t="s">
        <v>293</v>
      </c>
    </row>
    <row r="1456" spans="1:27" s="4" customFormat="1" ht="51.95" customHeight="1">
      <c r="A1456" s="5">
        <v>0</v>
      </c>
      <c r="B1456" s="6" t="s">
        <v>7816</v>
      </c>
      <c r="C1456" s="7">
        <v>1732.8</v>
      </c>
      <c r="D1456" s="8" t="s">
        <v>7817</v>
      </c>
      <c r="E1456" s="8" t="s">
        <v>7818</v>
      </c>
      <c r="F1456" s="8" t="s">
        <v>7819</v>
      </c>
      <c r="G1456" s="6" t="s">
        <v>51</v>
      </c>
      <c r="H1456" s="6" t="s">
        <v>38</v>
      </c>
      <c r="I1456" s="8"/>
      <c r="J1456" s="9">
        <v>1</v>
      </c>
      <c r="K1456" s="9">
        <v>320</v>
      </c>
      <c r="L1456" s="9">
        <v>2023</v>
      </c>
      <c r="M1456" s="8" t="s">
        <v>7820</v>
      </c>
      <c r="N1456" s="8" t="s">
        <v>40</v>
      </c>
      <c r="O1456" s="8" t="s">
        <v>41</v>
      </c>
      <c r="P1456" s="6" t="s">
        <v>841</v>
      </c>
      <c r="Q1456" s="8" t="s">
        <v>43</v>
      </c>
      <c r="R1456" s="10" t="s">
        <v>7821</v>
      </c>
      <c r="S1456" s="11"/>
      <c r="T1456" s="6"/>
      <c r="U1456" s="28" t="str">
        <f>HYPERLINK("https://media.infra-m.ru/1986/1986689/cover/1986689.jpg", "Обложка")</f>
        <v>Обложка</v>
      </c>
      <c r="V1456" s="28" t="str">
        <f>HYPERLINK("https://znanium.ru/catalog/product/1429040", "Ознакомиться")</f>
        <v>Ознакомиться</v>
      </c>
      <c r="W1456" s="8" t="s">
        <v>7815</v>
      </c>
      <c r="X1456" s="6"/>
      <c r="Y1456" s="6"/>
      <c r="Z1456" s="6"/>
      <c r="AA1456" s="6" t="s">
        <v>293</v>
      </c>
    </row>
    <row r="1457" spans="1:27" s="4" customFormat="1" ht="42" customHeight="1">
      <c r="A1457" s="5">
        <v>0</v>
      </c>
      <c r="B1457" s="6" t="s">
        <v>7822</v>
      </c>
      <c r="C1457" s="7">
        <v>1088.3</v>
      </c>
      <c r="D1457" s="8" t="s">
        <v>7823</v>
      </c>
      <c r="E1457" s="8" t="s">
        <v>7824</v>
      </c>
      <c r="F1457" s="8" t="s">
        <v>7825</v>
      </c>
      <c r="G1457" s="6" t="s">
        <v>58</v>
      </c>
      <c r="H1457" s="6" t="s">
        <v>38</v>
      </c>
      <c r="I1457" s="8"/>
      <c r="J1457" s="9">
        <v>1</v>
      </c>
      <c r="K1457" s="9">
        <v>232</v>
      </c>
      <c r="L1457" s="9">
        <v>2020</v>
      </c>
      <c r="M1457" s="8" t="s">
        <v>7826</v>
      </c>
      <c r="N1457" s="8" t="s">
        <v>40</v>
      </c>
      <c r="O1457" s="8" t="s">
        <v>41</v>
      </c>
      <c r="P1457" s="6" t="s">
        <v>42</v>
      </c>
      <c r="Q1457" s="8" t="s">
        <v>43</v>
      </c>
      <c r="R1457" s="10" t="s">
        <v>69</v>
      </c>
      <c r="S1457" s="11"/>
      <c r="T1457" s="6"/>
      <c r="U1457" s="28" t="str">
        <f>HYPERLINK("https://media.infra-m.ru/1088/1088383/cover/1088383.jpg", "Обложка")</f>
        <v>Обложка</v>
      </c>
      <c r="V1457" s="28" t="str">
        <f>HYPERLINK("https://znanium.ru/catalog/product/1068651", "Ознакомиться")</f>
        <v>Ознакомиться</v>
      </c>
      <c r="W1457" s="8" t="s">
        <v>6740</v>
      </c>
      <c r="X1457" s="6"/>
      <c r="Y1457" s="6"/>
      <c r="Z1457" s="6"/>
      <c r="AA1457" s="6" t="s">
        <v>115</v>
      </c>
    </row>
    <row r="1458" spans="1:27" s="4" customFormat="1" ht="42" customHeight="1">
      <c r="A1458" s="5">
        <v>0</v>
      </c>
      <c r="B1458" s="6" t="s">
        <v>7827</v>
      </c>
      <c r="C1458" s="7">
        <v>1348.8</v>
      </c>
      <c r="D1458" s="8" t="s">
        <v>7828</v>
      </c>
      <c r="E1458" s="8" t="s">
        <v>7829</v>
      </c>
      <c r="F1458" s="8" t="s">
        <v>6544</v>
      </c>
      <c r="G1458" s="6" t="s">
        <v>58</v>
      </c>
      <c r="H1458" s="6" t="s">
        <v>38</v>
      </c>
      <c r="I1458" s="8"/>
      <c r="J1458" s="9">
        <v>1</v>
      </c>
      <c r="K1458" s="9">
        <v>240</v>
      </c>
      <c r="L1458" s="9">
        <v>2024</v>
      </c>
      <c r="M1458" s="8" t="s">
        <v>7830</v>
      </c>
      <c r="N1458" s="8" t="s">
        <v>40</v>
      </c>
      <c r="O1458" s="8" t="s">
        <v>41</v>
      </c>
      <c r="P1458" s="6" t="s">
        <v>75</v>
      </c>
      <c r="Q1458" s="8" t="s">
        <v>76</v>
      </c>
      <c r="R1458" s="10" t="s">
        <v>113</v>
      </c>
      <c r="S1458" s="11"/>
      <c r="T1458" s="6"/>
      <c r="U1458" s="28" t="str">
        <f>HYPERLINK("https://media.infra-m.ru/2133/2133513/cover/2133513.jpg", "Обложка")</f>
        <v>Обложка</v>
      </c>
      <c r="V1458" s="28" t="str">
        <f>HYPERLINK("https://znanium.ru/catalog/product/1816459", "Ознакомиться")</f>
        <v>Ознакомиться</v>
      </c>
      <c r="W1458" s="8" t="s">
        <v>114</v>
      </c>
      <c r="X1458" s="6"/>
      <c r="Y1458" s="6"/>
      <c r="Z1458" s="6"/>
      <c r="AA1458" s="6" t="s">
        <v>353</v>
      </c>
    </row>
    <row r="1459" spans="1:27" s="4" customFormat="1" ht="51.95" customHeight="1">
      <c r="A1459" s="5">
        <v>0</v>
      </c>
      <c r="B1459" s="6" t="s">
        <v>7831</v>
      </c>
      <c r="C1459" s="7">
        <v>1788</v>
      </c>
      <c r="D1459" s="8" t="s">
        <v>7832</v>
      </c>
      <c r="E1459" s="8" t="s">
        <v>7833</v>
      </c>
      <c r="F1459" s="8" t="s">
        <v>7834</v>
      </c>
      <c r="G1459" s="6" t="s">
        <v>37</v>
      </c>
      <c r="H1459" s="6" t="s">
        <v>84</v>
      </c>
      <c r="I1459" s="8" t="s">
        <v>6534</v>
      </c>
      <c r="J1459" s="9">
        <v>1</v>
      </c>
      <c r="K1459" s="9">
        <v>323</v>
      </c>
      <c r="L1459" s="9">
        <v>2023</v>
      </c>
      <c r="M1459" s="8" t="s">
        <v>7835</v>
      </c>
      <c r="N1459" s="8" t="s">
        <v>40</v>
      </c>
      <c r="O1459" s="8" t="s">
        <v>41</v>
      </c>
      <c r="P1459" s="6" t="s">
        <v>2546</v>
      </c>
      <c r="Q1459" s="8" t="s">
        <v>43</v>
      </c>
      <c r="R1459" s="10" t="s">
        <v>60</v>
      </c>
      <c r="S1459" s="11"/>
      <c r="T1459" s="6"/>
      <c r="U1459" s="28" t="str">
        <f>HYPERLINK("https://media.infra-m.ru/2072/2072472/cover/2072472.jpg", "Обложка")</f>
        <v>Обложка</v>
      </c>
      <c r="V1459" s="28" t="str">
        <f>HYPERLINK("https://znanium.ru/catalog/product/1874261", "Ознакомиться")</f>
        <v>Ознакомиться</v>
      </c>
      <c r="W1459" s="8" t="s">
        <v>7836</v>
      </c>
      <c r="X1459" s="6"/>
      <c r="Y1459" s="6"/>
      <c r="Z1459" s="6"/>
      <c r="AA1459" s="6" t="s">
        <v>417</v>
      </c>
    </row>
    <row r="1460" spans="1:27" s="4" customFormat="1" ht="42" customHeight="1">
      <c r="A1460" s="5">
        <v>0</v>
      </c>
      <c r="B1460" s="6" t="s">
        <v>7837</v>
      </c>
      <c r="C1460" s="7">
        <v>1264.8</v>
      </c>
      <c r="D1460" s="8" t="s">
        <v>7838</v>
      </c>
      <c r="E1460" s="8" t="s">
        <v>7839</v>
      </c>
      <c r="F1460" s="8" t="s">
        <v>7840</v>
      </c>
      <c r="G1460" s="6" t="s">
        <v>51</v>
      </c>
      <c r="H1460" s="6" t="s">
        <v>38</v>
      </c>
      <c r="I1460" s="8"/>
      <c r="J1460" s="9">
        <v>1</v>
      </c>
      <c r="K1460" s="9">
        <v>272</v>
      </c>
      <c r="L1460" s="9">
        <v>2024</v>
      </c>
      <c r="M1460" s="8" t="s">
        <v>7841</v>
      </c>
      <c r="N1460" s="8" t="s">
        <v>40</v>
      </c>
      <c r="O1460" s="8" t="s">
        <v>41</v>
      </c>
      <c r="P1460" s="6" t="s">
        <v>42</v>
      </c>
      <c r="Q1460" s="8" t="s">
        <v>43</v>
      </c>
      <c r="R1460" s="10" t="s">
        <v>308</v>
      </c>
      <c r="S1460" s="11"/>
      <c r="T1460" s="6"/>
      <c r="U1460" s="28" t="str">
        <f>HYPERLINK("https://media.infra-m.ru/2056/2056645/cover/2056645.jpg", "Обложка")</f>
        <v>Обложка</v>
      </c>
      <c r="V1460" s="28" t="str">
        <f>HYPERLINK("https://znanium.ru/catalog/product/978591", "Ознакомиться")</f>
        <v>Ознакомиться</v>
      </c>
      <c r="W1460" s="8" t="s">
        <v>78</v>
      </c>
      <c r="X1460" s="6"/>
      <c r="Y1460" s="6"/>
      <c r="Z1460" s="6"/>
      <c r="AA1460" s="6" t="s">
        <v>315</v>
      </c>
    </row>
    <row r="1461" spans="1:27" s="4" customFormat="1" ht="51.95" customHeight="1">
      <c r="A1461" s="5">
        <v>0</v>
      </c>
      <c r="B1461" s="6" t="s">
        <v>7842</v>
      </c>
      <c r="C1461" s="13">
        <v>624</v>
      </c>
      <c r="D1461" s="8" t="s">
        <v>7843</v>
      </c>
      <c r="E1461" s="8" t="s">
        <v>7844</v>
      </c>
      <c r="F1461" s="8" t="s">
        <v>7845</v>
      </c>
      <c r="G1461" s="6" t="s">
        <v>51</v>
      </c>
      <c r="H1461" s="6" t="s">
        <v>52</v>
      </c>
      <c r="I1461" s="8" t="s">
        <v>250</v>
      </c>
      <c r="J1461" s="9">
        <v>1</v>
      </c>
      <c r="K1461" s="9">
        <v>110</v>
      </c>
      <c r="L1461" s="9">
        <v>2022</v>
      </c>
      <c r="M1461" s="8" t="s">
        <v>7846</v>
      </c>
      <c r="N1461" s="8" t="s">
        <v>40</v>
      </c>
      <c r="O1461" s="8" t="s">
        <v>41</v>
      </c>
      <c r="P1461" s="6" t="s">
        <v>42</v>
      </c>
      <c r="Q1461" s="8" t="s">
        <v>43</v>
      </c>
      <c r="R1461" s="10" t="s">
        <v>2333</v>
      </c>
      <c r="S1461" s="11"/>
      <c r="T1461" s="6"/>
      <c r="U1461" s="28" t="str">
        <f>HYPERLINK("https://media.infra-m.ru/1850/1850120/cover/1850120.jpg", "Обложка")</f>
        <v>Обложка</v>
      </c>
      <c r="V1461" s="12"/>
      <c r="W1461" s="8"/>
      <c r="X1461" s="6"/>
      <c r="Y1461" s="6"/>
      <c r="Z1461" s="6"/>
      <c r="AA1461" s="6" t="s">
        <v>62</v>
      </c>
    </row>
    <row r="1462" spans="1:27" s="4" customFormat="1" ht="42" customHeight="1">
      <c r="A1462" s="5">
        <v>0</v>
      </c>
      <c r="B1462" s="6" t="s">
        <v>7847</v>
      </c>
      <c r="C1462" s="7">
        <v>1228.8</v>
      </c>
      <c r="D1462" s="8" t="s">
        <v>7848</v>
      </c>
      <c r="E1462" s="8" t="s">
        <v>7849</v>
      </c>
      <c r="F1462" s="8" t="s">
        <v>283</v>
      </c>
      <c r="G1462" s="6" t="s">
        <v>58</v>
      </c>
      <c r="H1462" s="6" t="s">
        <v>38</v>
      </c>
      <c r="I1462" s="8"/>
      <c r="J1462" s="9">
        <v>1</v>
      </c>
      <c r="K1462" s="9">
        <v>216</v>
      </c>
      <c r="L1462" s="9">
        <v>2024</v>
      </c>
      <c r="M1462" s="8" t="s">
        <v>7850</v>
      </c>
      <c r="N1462" s="8" t="s">
        <v>40</v>
      </c>
      <c r="O1462" s="8" t="s">
        <v>41</v>
      </c>
      <c r="P1462" s="6" t="s">
        <v>42</v>
      </c>
      <c r="Q1462" s="8" t="s">
        <v>43</v>
      </c>
      <c r="R1462" s="10" t="s">
        <v>1376</v>
      </c>
      <c r="S1462" s="11"/>
      <c r="T1462" s="6"/>
      <c r="U1462" s="28" t="str">
        <f>HYPERLINK("https://media.infra-m.ru/2133/2133776/cover/2133776.jpg", "Обложка")</f>
        <v>Обложка</v>
      </c>
      <c r="V1462" s="28" t="str">
        <f>HYPERLINK("https://znanium.ru/catalog/product/1864451", "Ознакомиться")</f>
        <v>Ознакомиться</v>
      </c>
      <c r="W1462" s="8" t="s">
        <v>114</v>
      </c>
      <c r="X1462" s="6"/>
      <c r="Y1462" s="6"/>
      <c r="Z1462" s="6"/>
      <c r="AA1462" s="6" t="s">
        <v>62</v>
      </c>
    </row>
    <row r="1463" spans="1:27" s="4" customFormat="1" ht="51.95" customHeight="1">
      <c r="A1463" s="5">
        <v>0</v>
      </c>
      <c r="B1463" s="6" t="s">
        <v>7851</v>
      </c>
      <c r="C1463" s="7">
        <v>1259.9000000000001</v>
      </c>
      <c r="D1463" s="8" t="s">
        <v>7852</v>
      </c>
      <c r="E1463" s="8" t="s">
        <v>7853</v>
      </c>
      <c r="F1463" s="8" t="s">
        <v>7854</v>
      </c>
      <c r="G1463" s="6" t="s">
        <v>1764</v>
      </c>
      <c r="H1463" s="6" t="s">
        <v>84</v>
      </c>
      <c r="I1463" s="8" t="s">
        <v>85</v>
      </c>
      <c r="J1463" s="9">
        <v>10</v>
      </c>
      <c r="K1463" s="9">
        <v>336</v>
      </c>
      <c r="L1463" s="9">
        <v>2016</v>
      </c>
      <c r="M1463" s="8" t="s">
        <v>7855</v>
      </c>
      <c r="N1463" s="8" t="s">
        <v>40</v>
      </c>
      <c r="O1463" s="8" t="s">
        <v>41</v>
      </c>
      <c r="P1463" s="6" t="s">
        <v>42</v>
      </c>
      <c r="Q1463" s="8" t="s">
        <v>300</v>
      </c>
      <c r="R1463" s="10" t="s">
        <v>1661</v>
      </c>
      <c r="S1463" s="11"/>
      <c r="T1463" s="6"/>
      <c r="U1463" s="28" t="str">
        <f>HYPERLINK("https://media.infra-m.ru/0522/0522397/cover/522397.jpg", "Обложка")</f>
        <v>Обложка</v>
      </c>
      <c r="V1463" s="28" t="str">
        <f>HYPERLINK("https://znanium.ru/catalog/product/522397", "Ознакомиться")</f>
        <v>Ознакомиться</v>
      </c>
      <c r="W1463" s="8" t="s">
        <v>45</v>
      </c>
      <c r="X1463" s="6"/>
      <c r="Y1463" s="6"/>
      <c r="Z1463" s="6"/>
      <c r="AA1463" s="6" t="s">
        <v>302</v>
      </c>
    </row>
    <row r="1464" spans="1:27" s="4" customFormat="1" ht="51.95" customHeight="1">
      <c r="A1464" s="5">
        <v>0</v>
      </c>
      <c r="B1464" s="6" t="s">
        <v>7856</v>
      </c>
      <c r="C1464" s="7">
        <v>1104</v>
      </c>
      <c r="D1464" s="8" t="s">
        <v>7857</v>
      </c>
      <c r="E1464" s="8" t="s">
        <v>7858</v>
      </c>
      <c r="F1464" s="8" t="s">
        <v>7859</v>
      </c>
      <c r="G1464" s="6" t="s">
        <v>37</v>
      </c>
      <c r="H1464" s="6" t="s">
        <v>38</v>
      </c>
      <c r="I1464" s="8"/>
      <c r="J1464" s="9">
        <v>1</v>
      </c>
      <c r="K1464" s="9">
        <v>192</v>
      </c>
      <c r="L1464" s="9">
        <v>2024</v>
      </c>
      <c r="M1464" s="8" t="s">
        <v>7860</v>
      </c>
      <c r="N1464" s="8" t="s">
        <v>40</v>
      </c>
      <c r="O1464" s="8" t="s">
        <v>41</v>
      </c>
      <c r="P1464" s="6" t="s">
        <v>75</v>
      </c>
      <c r="Q1464" s="8" t="s">
        <v>76</v>
      </c>
      <c r="R1464" s="10" t="s">
        <v>122</v>
      </c>
      <c r="S1464" s="11"/>
      <c r="T1464" s="6"/>
      <c r="U1464" s="28" t="str">
        <f>HYPERLINK("https://media.infra-m.ru/2135/2135813/cover/2135813.jpg", "Обложка")</f>
        <v>Обложка</v>
      </c>
      <c r="V1464" s="28" t="str">
        <f>HYPERLINK("https://znanium.ru/catalog/product/2135813", "Ознакомиться")</f>
        <v>Ознакомиться</v>
      </c>
      <c r="W1464" s="8" t="s">
        <v>114</v>
      </c>
      <c r="X1464" s="6"/>
      <c r="Y1464" s="6"/>
      <c r="Z1464" s="6"/>
      <c r="AA1464" s="6" t="s">
        <v>148</v>
      </c>
    </row>
    <row r="1465" spans="1:27" s="4" customFormat="1" ht="51.95" customHeight="1">
      <c r="A1465" s="5">
        <v>0</v>
      </c>
      <c r="B1465" s="6" t="s">
        <v>7861</v>
      </c>
      <c r="C1465" s="13">
        <v>773.9</v>
      </c>
      <c r="D1465" s="8" t="s">
        <v>7862</v>
      </c>
      <c r="E1465" s="8" t="s">
        <v>7863</v>
      </c>
      <c r="F1465" s="8" t="s">
        <v>7864</v>
      </c>
      <c r="G1465" s="6" t="s">
        <v>51</v>
      </c>
      <c r="H1465" s="6" t="s">
        <v>38</v>
      </c>
      <c r="I1465" s="8"/>
      <c r="J1465" s="9">
        <v>1</v>
      </c>
      <c r="K1465" s="9">
        <v>256</v>
      </c>
      <c r="L1465" s="9">
        <v>2019</v>
      </c>
      <c r="M1465" s="8" t="s">
        <v>7865</v>
      </c>
      <c r="N1465" s="8" t="s">
        <v>40</v>
      </c>
      <c r="O1465" s="8" t="s">
        <v>41</v>
      </c>
      <c r="P1465" s="6" t="s">
        <v>4870</v>
      </c>
      <c r="Q1465" s="8" t="s">
        <v>76</v>
      </c>
      <c r="R1465" s="10" t="s">
        <v>6658</v>
      </c>
      <c r="S1465" s="11"/>
      <c r="T1465" s="6"/>
      <c r="U1465" s="28" t="str">
        <f>HYPERLINK("https://media.infra-m.ru/1007/1007471/cover/1007471.jpg", "Обложка")</f>
        <v>Обложка</v>
      </c>
      <c r="V1465" s="28" t="str">
        <f>HYPERLINK("https://znanium.ru/catalog/product/1007471", "Ознакомиться")</f>
        <v>Ознакомиться</v>
      </c>
      <c r="W1465" s="8" t="s">
        <v>723</v>
      </c>
      <c r="X1465" s="6"/>
      <c r="Y1465" s="6"/>
      <c r="Z1465" s="6"/>
      <c r="AA1465" s="6" t="s">
        <v>431</v>
      </c>
    </row>
    <row r="1466" spans="1:27" s="4" customFormat="1" ht="51.95" customHeight="1">
      <c r="A1466" s="5">
        <v>0</v>
      </c>
      <c r="B1466" s="6" t="s">
        <v>7866</v>
      </c>
      <c r="C1466" s="7">
        <v>1636.8</v>
      </c>
      <c r="D1466" s="8" t="s">
        <v>7867</v>
      </c>
      <c r="E1466" s="8" t="s">
        <v>7868</v>
      </c>
      <c r="F1466" s="8" t="s">
        <v>7869</v>
      </c>
      <c r="G1466" s="6" t="s">
        <v>58</v>
      </c>
      <c r="H1466" s="6" t="s">
        <v>38</v>
      </c>
      <c r="I1466" s="8"/>
      <c r="J1466" s="9">
        <v>1</v>
      </c>
      <c r="K1466" s="9">
        <v>296</v>
      </c>
      <c r="L1466" s="9">
        <v>2024</v>
      </c>
      <c r="M1466" s="8" t="s">
        <v>7870</v>
      </c>
      <c r="N1466" s="8" t="s">
        <v>40</v>
      </c>
      <c r="O1466" s="8" t="s">
        <v>41</v>
      </c>
      <c r="P1466" s="6" t="s">
        <v>75</v>
      </c>
      <c r="Q1466" s="8" t="s">
        <v>76</v>
      </c>
      <c r="R1466" s="10" t="s">
        <v>7871</v>
      </c>
      <c r="S1466" s="11"/>
      <c r="T1466" s="6"/>
      <c r="U1466" s="28" t="str">
        <f>HYPERLINK("https://media.infra-m.ru/2107/2107268/cover/2107268.jpg", "Обложка")</f>
        <v>Обложка</v>
      </c>
      <c r="V1466" s="28" t="str">
        <f>HYPERLINK("https://znanium.ru/catalog/product/2107268", "Ознакомиться")</f>
        <v>Ознакомиться</v>
      </c>
      <c r="W1466" s="8" t="s">
        <v>423</v>
      </c>
      <c r="X1466" s="6"/>
      <c r="Y1466" s="6"/>
      <c r="Z1466" s="6"/>
      <c r="AA1466" s="6" t="s">
        <v>353</v>
      </c>
    </row>
    <row r="1467" spans="1:27" s="4" customFormat="1" ht="51.95" customHeight="1">
      <c r="A1467" s="5">
        <v>0</v>
      </c>
      <c r="B1467" s="6" t="s">
        <v>7872</v>
      </c>
      <c r="C1467" s="13">
        <v>984</v>
      </c>
      <c r="D1467" s="8" t="s">
        <v>7873</v>
      </c>
      <c r="E1467" s="8" t="s">
        <v>7874</v>
      </c>
      <c r="F1467" s="8" t="s">
        <v>7875</v>
      </c>
      <c r="G1467" s="6" t="s">
        <v>51</v>
      </c>
      <c r="H1467" s="6" t="s">
        <v>38</v>
      </c>
      <c r="I1467" s="8"/>
      <c r="J1467" s="9">
        <v>1</v>
      </c>
      <c r="K1467" s="9">
        <v>176</v>
      </c>
      <c r="L1467" s="9">
        <v>2024</v>
      </c>
      <c r="M1467" s="8" t="s">
        <v>7876</v>
      </c>
      <c r="N1467" s="8" t="s">
        <v>40</v>
      </c>
      <c r="O1467" s="8" t="s">
        <v>41</v>
      </c>
      <c r="P1467" s="6" t="s">
        <v>75</v>
      </c>
      <c r="Q1467" s="8" t="s">
        <v>76</v>
      </c>
      <c r="R1467" s="10" t="s">
        <v>7877</v>
      </c>
      <c r="S1467" s="11"/>
      <c r="T1467" s="6"/>
      <c r="U1467" s="28" t="str">
        <f>HYPERLINK("https://media.infra-m.ru/2133/2133302/cover/2133302.jpg", "Обложка")</f>
        <v>Обложка</v>
      </c>
      <c r="V1467" s="28" t="str">
        <f>HYPERLINK("https://znanium.ru/catalog/product/2133302", "Ознакомиться")</f>
        <v>Ознакомиться</v>
      </c>
      <c r="W1467" s="8" t="s">
        <v>114</v>
      </c>
      <c r="X1467" s="6"/>
      <c r="Y1467" s="6"/>
      <c r="Z1467" s="6"/>
      <c r="AA1467" s="6" t="s">
        <v>302</v>
      </c>
    </row>
    <row r="1468" spans="1:27" s="4" customFormat="1" ht="42" customHeight="1">
      <c r="A1468" s="5">
        <v>0</v>
      </c>
      <c r="B1468" s="6" t="s">
        <v>7878</v>
      </c>
      <c r="C1468" s="7">
        <v>2388</v>
      </c>
      <c r="D1468" s="8" t="s">
        <v>7879</v>
      </c>
      <c r="E1468" s="8" t="s">
        <v>7880</v>
      </c>
      <c r="F1468" s="8" t="s">
        <v>7881</v>
      </c>
      <c r="G1468" s="6" t="s">
        <v>37</v>
      </c>
      <c r="H1468" s="6" t="s">
        <v>52</v>
      </c>
      <c r="I1468" s="8" t="s">
        <v>250</v>
      </c>
      <c r="J1468" s="9">
        <v>1</v>
      </c>
      <c r="K1468" s="9">
        <v>590</v>
      </c>
      <c r="L1468" s="9">
        <v>2022</v>
      </c>
      <c r="M1468" s="8" t="s">
        <v>7882</v>
      </c>
      <c r="N1468" s="8" t="s">
        <v>40</v>
      </c>
      <c r="O1468" s="8" t="s">
        <v>41</v>
      </c>
      <c r="P1468" s="6" t="s">
        <v>42</v>
      </c>
      <c r="Q1468" s="8" t="s">
        <v>43</v>
      </c>
      <c r="R1468" s="10" t="s">
        <v>69</v>
      </c>
      <c r="S1468" s="11"/>
      <c r="T1468" s="6"/>
      <c r="U1468" s="28" t="str">
        <f>HYPERLINK("https://media.infra-m.ru/1863/1863277/cover/1863277.jpg", "Обложка")</f>
        <v>Обложка</v>
      </c>
      <c r="V1468" s="12"/>
      <c r="W1468" s="8" t="s">
        <v>475</v>
      </c>
      <c r="X1468" s="6"/>
      <c r="Y1468" s="6"/>
      <c r="Z1468" s="6"/>
      <c r="AA1468" s="6" t="s">
        <v>353</v>
      </c>
    </row>
    <row r="1469" spans="1:27" s="4" customFormat="1" ht="51.95" customHeight="1">
      <c r="A1469" s="5">
        <v>0</v>
      </c>
      <c r="B1469" s="6" t="s">
        <v>7883</v>
      </c>
      <c r="C1469" s="7">
        <v>1236</v>
      </c>
      <c r="D1469" s="8" t="s">
        <v>7884</v>
      </c>
      <c r="E1469" s="8" t="s">
        <v>7880</v>
      </c>
      <c r="F1469" s="8" t="s">
        <v>7885</v>
      </c>
      <c r="G1469" s="6" t="s">
        <v>58</v>
      </c>
      <c r="H1469" s="6" t="s">
        <v>52</v>
      </c>
      <c r="I1469" s="8" t="s">
        <v>250</v>
      </c>
      <c r="J1469" s="9">
        <v>1</v>
      </c>
      <c r="K1469" s="9">
        <v>263</v>
      </c>
      <c r="L1469" s="9">
        <v>2022</v>
      </c>
      <c r="M1469" s="8" t="s">
        <v>7886</v>
      </c>
      <c r="N1469" s="8" t="s">
        <v>40</v>
      </c>
      <c r="O1469" s="8" t="s">
        <v>41</v>
      </c>
      <c r="P1469" s="6" t="s">
        <v>42</v>
      </c>
      <c r="Q1469" s="8" t="s">
        <v>43</v>
      </c>
      <c r="R1469" s="10" t="s">
        <v>965</v>
      </c>
      <c r="S1469" s="11"/>
      <c r="T1469" s="6"/>
      <c r="U1469" s="28" t="str">
        <f>HYPERLINK("https://media.infra-m.ru/1862/1862590/cover/1862590.jpg", "Обложка")</f>
        <v>Обложка</v>
      </c>
      <c r="V1469" s="12"/>
      <c r="W1469" s="8" t="s">
        <v>475</v>
      </c>
      <c r="X1469" s="6"/>
      <c r="Y1469" s="6"/>
      <c r="Z1469" s="6"/>
      <c r="AA1469" s="6" t="s">
        <v>353</v>
      </c>
    </row>
    <row r="1470" spans="1:27" s="4" customFormat="1" ht="42" customHeight="1">
      <c r="A1470" s="5">
        <v>0</v>
      </c>
      <c r="B1470" s="6" t="s">
        <v>7887</v>
      </c>
      <c r="C1470" s="13">
        <v>624</v>
      </c>
      <c r="D1470" s="8" t="s">
        <v>7888</v>
      </c>
      <c r="E1470" s="8" t="s">
        <v>7889</v>
      </c>
      <c r="F1470" s="8" t="s">
        <v>7890</v>
      </c>
      <c r="G1470" s="6" t="s">
        <v>51</v>
      </c>
      <c r="H1470" s="6" t="s">
        <v>52</v>
      </c>
      <c r="I1470" s="8" t="s">
        <v>250</v>
      </c>
      <c r="J1470" s="9">
        <v>1</v>
      </c>
      <c r="K1470" s="9">
        <v>140</v>
      </c>
      <c r="L1470" s="9">
        <v>2021</v>
      </c>
      <c r="M1470" s="8" t="s">
        <v>7891</v>
      </c>
      <c r="N1470" s="8" t="s">
        <v>40</v>
      </c>
      <c r="O1470" s="8" t="s">
        <v>41</v>
      </c>
      <c r="P1470" s="6" t="s">
        <v>42</v>
      </c>
      <c r="Q1470" s="8" t="s">
        <v>43</v>
      </c>
      <c r="R1470" s="10" t="s">
        <v>314</v>
      </c>
      <c r="S1470" s="11"/>
      <c r="T1470" s="6"/>
      <c r="U1470" s="28" t="str">
        <f>HYPERLINK("https://media.infra-m.ru/1277/1277649/cover/1277649.jpg", "Обложка")</f>
        <v>Обложка</v>
      </c>
      <c r="V1470" s="28" t="str">
        <f>HYPERLINK("https://znanium.ru/catalog/product/1277649", "Ознакомиться")</f>
        <v>Ознакомиться</v>
      </c>
      <c r="W1470" s="8" t="s">
        <v>475</v>
      </c>
      <c r="X1470" s="6"/>
      <c r="Y1470" s="6"/>
      <c r="Z1470" s="6"/>
      <c r="AA1470" s="6" t="s">
        <v>293</v>
      </c>
    </row>
    <row r="1471" spans="1:27" s="4" customFormat="1" ht="44.1" customHeight="1">
      <c r="A1471" s="5">
        <v>0</v>
      </c>
      <c r="B1471" s="6" t="s">
        <v>7892</v>
      </c>
      <c r="C1471" s="7">
        <v>1140</v>
      </c>
      <c r="D1471" s="8" t="s">
        <v>7893</v>
      </c>
      <c r="E1471" s="8" t="s">
        <v>7894</v>
      </c>
      <c r="F1471" s="8" t="s">
        <v>7895</v>
      </c>
      <c r="G1471" s="6" t="s">
        <v>58</v>
      </c>
      <c r="H1471" s="6" t="s">
        <v>84</v>
      </c>
      <c r="I1471" s="8" t="s">
        <v>85</v>
      </c>
      <c r="J1471" s="9">
        <v>1</v>
      </c>
      <c r="K1471" s="9">
        <v>304</v>
      </c>
      <c r="L1471" s="9">
        <v>2017</v>
      </c>
      <c r="M1471" s="8" t="s">
        <v>7896</v>
      </c>
      <c r="N1471" s="8" t="s">
        <v>40</v>
      </c>
      <c r="O1471" s="8" t="s">
        <v>41</v>
      </c>
      <c r="P1471" s="6" t="s">
        <v>42</v>
      </c>
      <c r="Q1471" s="8" t="s">
        <v>300</v>
      </c>
      <c r="R1471" s="10" t="s">
        <v>7897</v>
      </c>
      <c r="S1471" s="11"/>
      <c r="T1471" s="6"/>
      <c r="U1471" s="28" t="str">
        <f>HYPERLINK("https://media.infra-m.ru/0902/0902299/cover/902299.jpg", "Обложка")</f>
        <v>Обложка</v>
      </c>
      <c r="V1471" s="28" t="str">
        <f>HYPERLINK("https://znanium.ru/catalog/product/902299", "Ознакомиться")</f>
        <v>Ознакомиться</v>
      </c>
      <c r="W1471" s="8" t="s">
        <v>45</v>
      </c>
      <c r="X1471" s="6"/>
      <c r="Y1471" s="6"/>
      <c r="Z1471" s="6"/>
      <c r="AA1471" s="6" t="s">
        <v>293</v>
      </c>
    </row>
    <row r="1472" spans="1:27" s="4" customFormat="1" ht="51.95" customHeight="1">
      <c r="A1472" s="5">
        <v>0</v>
      </c>
      <c r="B1472" s="6" t="s">
        <v>7898</v>
      </c>
      <c r="C1472" s="7">
        <v>2292</v>
      </c>
      <c r="D1472" s="8" t="s">
        <v>7899</v>
      </c>
      <c r="E1472" s="8" t="s">
        <v>7900</v>
      </c>
      <c r="F1472" s="8" t="s">
        <v>7901</v>
      </c>
      <c r="G1472" s="6" t="s">
        <v>58</v>
      </c>
      <c r="H1472" s="6" t="s">
        <v>38</v>
      </c>
      <c r="I1472" s="8"/>
      <c r="J1472" s="9">
        <v>1</v>
      </c>
      <c r="K1472" s="9">
        <v>416</v>
      </c>
      <c r="L1472" s="9">
        <v>2024</v>
      </c>
      <c r="M1472" s="8" t="s">
        <v>7902</v>
      </c>
      <c r="N1472" s="8" t="s">
        <v>40</v>
      </c>
      <c r="O1472" s="8" t="s">
        <v>41</v>
      </c>
      <c r="P1472" s="6" t="s">
        <v>95</v>
      </c>
      <c r="Q1472" s="8" t="s">
        <v>76</v>
      </c>
      <c r="R1472" s="10" t="s">
        <v>234</v>
      </c>
      <c r="S1472" s="11" t="s">
        <v>7903</v>
      </c>
      <c r="T1472" s="6"/>
      <c r="U1472" s="28" t="str">
        <f>HYPERLINK("https://media.infra-m.ru/2056/2056653/cover/2056653.jpg", "Обложка")</f>
        <v>Обложка</v>
      </c>
      <c r="V1472" s="28" t="str">
        <f>HYPERLINK("https://znanium.ru/catalog/product/2056653", "Ознакомиться")</f>
        <v>Ознакомиться</v>
      </c>
      <c r="W1472" s="8" t="s">
        <v>124</v>
      </c>
      <c r="X1472" s="6"/>
      <c r="Y1472" s="6"/>
      <c r="Z1472" s="6"/>
      <c r="AA1472" s="6" t="s">
        <v>214</v>
      </c>
    </row>
    <row r="1473" spans="1:27" s="4" customFormat="1" ht="51.95" customHeight="1">
      <c r="A1473" s="5">
        <v>0</v>
      </c>
      <c r="B1473" s="6" t="s">
        <v>7904</v>
      </c>
      <c r="C1473" s="7">
        <v>3480</v>
      </c>
      <c r="D1473" s="8" t="s">
        <v>7905</v>
      </c>
      <c r="E1473" s="8" t="s">
        <v>7906</v>
      </c>
      <c r="F1473" s="8" t="s">
        <v>7907</v>
      </c>
      <c r="G1473" s="6" t="s">
        <v>58</v>
      </c>
      <c r="H1473" s="6" t="s">
        <v>38</v>
      </c>
      <c r="I1473" s="8"/>
      <c r="J1473" s="9">
        <v>1</v>
      </c>
      <c r="K1473" s="9">
        <v>640</v>
      </c>
      <c r="L1473" s="9">
        <v>2024</v>
      </c>
      <c r="M1473" s="8" t="s">
        <v>7908</v>
      </c>
      <c r="N1473" s="8" t="s">
        <v>40</v>
      </c>
      <c r="O1473" s="8" t="s">
        <v>41</v>
      </c>
      <c r="P1473" s="6" t="s">
        <v>95</v>
      </c>
      <c r="Q1473" s="8" t="s">
        <v>157</v>
      </c>
      <c r="R1473" s="10" t="s">
        <v>1936</v>
      </c>
      <c r="S1473" s="11"/>
      <c r="T1473" s="6"/>
      <c r="U1473" s="28" t="str">
        <f>HYPERLINK("https://media.infra-m.ru/2132/2132532/cover/2132532.jpg", "Обложка")</f>
        <v>Обложка</v>
      </c>
      <c r="V1473" s="28" t="str">
        <f>HYPERLINK("https://znanium.ru/catalog/product/2132532", "Ознакомиться")</f>
        <v>Ознакомиться</v>
      </c>
      <c r="W1473" s="8" t="s">
        <v>114</v>
      </c>
      <c r="X1473" s="6"/>
      <c r="Y1473" s="6"/>
      <c r="Z1473" s="6"/>
      <c r="AA1473" s="6" t="s">
        <v>2604</v>
      </c>
    </row>
    <row r="1474" spans="1:27" s="4" customFormat="1" ht="44.1" customHeight="1">
      <c r="A1474" s="5">
        <v>0</v>
      </c>
      <c r="B1474" s="6" t="s">
        <v>7909</v>
      </c>
      <c r="C1474" s="7">
        <v>1444.8</v>
      </c>
      <c r="D1474" s="8" t="s">
        <v>7910</v>
      </c>
      <c r="E1474" s="8" t="s">
        <v>7911</v>
      </c>
      <c r="F1474" s="8" t="s">
        <v>7907</v>
      </c>
      <c r="G1474" s="6" t="s">
        <v>51</v>
      </c>
      <c r="H1474" s="6" t="s">
        <v>410</v>
      </c>
      <c r="I1474" s="8" t="s">
        <v>1127</v>
      </c>
      <c r="J1474" s="9">
        <v>1</v>
      </c>
      <c r="K1474" s="9">
        <v>256</v>
      </c>
      <c r="L1474" s="9">
        <v>2024</v>
      </c>
      <c r="M1474" s="8" t="s">
        <v>7912</v>
      </c>
      <c r="N1474" s="8" t="s">
        <v>40</v>
      </c>
      <c r="O1474" s="8" t="s">
        <v>41</v>
      </c>
      <c r="P1474" s="6" t="s">
        <v>556</v>
      </c>
      <c r="Q1474" s="8" t="s">
        <v>515</v>
      </c>
      <c r="R1474" s="10" t="s">
        <v>7913</v>
      </c>
      <c r="S1474" s="11"/>
      <c r="T1474" s="6"/>
      <c r="U1474" s="28" t="str">
        <f>HYPERLINK("https://media.infra-m.ru/2053/2053229/cover/2053229.jpg", "Обложка")</f>
        <v>Обложка</v>
      </c>
      <c r="V1474" s="28" t="str">
        <f>HYPERLINK("https://znanium.ru/catalog/product/987781", "Ознакомиться")</f>
        <v>Ознакомиться</v>
      </c>
      <c r="W1474" s="8" t="s">
        <v>114</v>
      </c>
      <c r="X1474" s="6"/>
      <c r="Y1474" s="6"/>
      <c r="Z1474" s="6"/>
      <c r="AA1474" s="6" t="s">
        <v>7039</v>
      </c>
    </row>
    <row r="1475" spans="1:27" s="4" customFormat="1" ht="51.95" customHeight="1">
      <c r="A1475" s="5">
        <v>0</v>
      </c>
      <c r="B1475" s="6" t="s">
        <v>7914</v>
      </c>
      <c r="C1475" s="7">
        <v>2760</v>
      </c>
      <c r="D1475" s="8" t="s">
        <v>7915</v>
      </c>
      <c r="E1475" s="8" t="s">
        <v>7911</v>
      </c>
      <c r="F1475" s="8" t="s">
        <v>4299</v>
      </c>
      <c r="G1475" s="6" t="s">
        <v>58</v>
      </c>
      <c r="H1475" s="6" t="s">
        <v>38</v>
      </c>
      <c r="I1475" s="8"/>
      <c r="J1475" s="9">
        <v>1</v>
      </c>
      <c r="K1475" s="9">
        <v>512</v>
      </c>
      <c r="L1475" s="9">
        <v>2023</v>
      </c>
      <c r="M1475" s="8" t="s">
        <v>7916</v>
      </c>
      <c r="N1475" s="8" t="s">
        <v>40</v>
      </c>
      <c r="O1475" s="8" t="s">
        <v>41</v>
      </c>
      <c r="P1475" s="6" t="s">
        <v>95</v>
      </c>
      <c r="Q1475" s="8" t="s">
        <v>157</v>
      </c>
      <c r="R1475" s="10" t="s">
        <v>7917</v>
      </c>
      <c r="S1475" s="11" t="s">
        <v>7918</v>
      </c>
      <c r="T1475" s="6"/>
      <c r="U1475" s="28" t="str">
        <f>HYPERLINK("https://media.infra-m.ru/1912/1912365/cover/1912365.jpg", "Обложка")</f>
        <v>Обложка</v>
      </c>
      <c r="V1475" s="28" t="str">
        <f>HYPERLINK("https://znanium.ru/catalog/product/1912365", "Ознакомиться")</f>
        <v>Ознакомиться</v>
      </c>
      <c r="W1475" s="8" t="s">
        <v>114</v>
      </c>
      <c r="X1475" s="6"/>
      <c r="Y1475" s="6"/>
      <c r="Z1475" s="6"/>
      <c r="AA1475" s="6" t="s">
        <v>4027</v>
      </c>
    </row>
    <row r="1476" spans="1:27" s="4" customFormat="1" ht="51.95" customHeight="1">
      <c r="A1476" s="5">
        <v>0</v>
      </c>
      <c r="B1476" s="6" t="s">
        <v>7919</v>
      </c>
      <c r="C1476" s="13">
        <v>413.9</v>
      </c>
      <c r="D1476" s="8" t="s">
        <v>7920</v>
      </c>
      <c r="E1476" s="8" t="s">
        <v>7911</v>
      </c>
      <c r="F1476" s="8" t="s">
        <v>7921</v>
      </c>
      <c r="G1476" s="6" t="s">
        <v>51</v>
      </c>
      <c r="H1476" s="6" t="s">
        <v>52</v>
      </c>
      <c r="I1476" s="8"/>
      <c r="J1476" s="9">
        <v>1</v>
      </c>
      <c r="K1476" s="9">
        <v>94</v>
      </c>
      <c r="L1476" s="9">
        <v>2023</v>
      </c>
      <c r="M1476" s="8" t="s">
        <v>7922</v>
      </c>
      <c r="N1476" s="8" t="s">
        <v>40</v>
      </c>
      <c r="O1476" s="8" t="s">
        <v>41</v>
      </c>
      <c r="P1476" s="6" t="s">
        <v>75</v>
      </c>
      <c r="Q1476" s="8" t="s">
        <v>76</v>
      </c>
      <c r="R1476" s="10" t="s">
        <v>7923</v>
      </c>
      <c r="S1476" s="11"/>
      <c r="T1476" s="6"/>
      <c r="U1476" s="28" t="str">
        <f>HYPERLINK("https://media.infra-m.ru/1988/1988444/cover/1988444.jpg", "Обложка")</f>
        <v>Обложка</v>
      </c>
      <c r="V1476" s="28" t="str">
        <f>HYPERLINK("https://znanium.ru/catalog/product/1854790", "Ознакомиться")</f>
        <v>Ознакомиться</v>
      </c>
      <c r="W1476" s="8" t="s">
        <v>7924</v>
      </c>
      <c r="X1476" s="6"/>
      <c r="Y1476" s="6"/>
      <c r="Z1476" s="6"/>
      <c r="AA1476" s="6" t="s">
        <v>655</v>
      </c>
    </row>
    <row r="1477" spans="1:27" s="4" customFormat="1" ht="51.95" customHeight="1">
      <c r="A1477" s="5">
        <v>0</v>
      </c>
      <c r="B1477" s="6" t="s">
        <v>7925</v>
      </c>
      <c r="C1477" s="13">
        <v>953.9</v>
      </c>
      <c r="D1477" s="8" t="s">
        <v>7926</v>
      </c>
      <c r="E1477" s="8" t="s">
        <v>7911</v>
      </c>
      <c r="F1477" s="8" t="s">
        <v>7927</v>
      </c>
      <c r="G1477" s="6" t="s">
        <v>58</v>
      </c>
      <c r="H1477" s="6" t="s">
        <v>52</v>
      </c>
      <c r="I1477" s="8" t="s">
        <v>184</v>
      </c>
      <c r="J1477" s="9">
        <v>1</v>
      </c>
      <c r="K1477" s="9">
        <v>176</v>
      </c>
      <c r="L1477" s="9">
        <v>2023</v>
      </c>
      <c r="M1477" s="8" t="s">
        <v>7928</v>
      </c>
      <c r="N1477" s="8" t="s">
        <v>40</v>
      </c>
      <c r="O1477" s="8" t="s">
        <v>41</v>
      </c>
      <c r="P1477" s="6" t="s">
        <v>75</v>
      </c>
      <c r="Q1477" s="8" t="s">
        <v>76</v>
      </c>
      <c r="R1477" s="10" t="s">
        <v>3052</v>
      </c>
      <c r="S1477" s="11"/>
      <c r="T1477" s="6"/>
      <c r="U1477" s="28" t="str">
        <f>HYPERLINK("https://media.infra-m.ru/1915/1915600/cover/1915600.jpg", "Обложка")</f>
        <v>Обложка</v>
      </c>
      <c r="V1477" s="28" t="str">
        <f>HYPERLINK("https://znanium.ru/catalog/product/1843600", "Ознакомиться")</f>
        <v>Ознакомиться</v>
      </c>
      <c r="W1477" s="8" t="s">
        <v>7929</v>
      </c>
      <c r="X1477" s="6"/>
      <c r="Y1477" s="6"/>
      <c r="Z1477" s="6"/>
      <c r="AA1477" s="6" t="s">
        <v>424</v>
      </c>
    </row>
    <row r="1478" spans="1:27" s="4" customFormat="1" ht="51.95" customHeight="1">
      <c r="A1478" s="5">
        <v>0</v>
      </c>
      <c r="B1478" s="6" t="s">
        <v>7930</v>
      </c>
      <c r="C1478" s="13">
        <v>840</v>
      </c>
      <c r="D1478" s="8" t="s">
        <v>7931</v>
      </c>
      <c r="E1478" s="8" t="s">
        <v>7911</v>
      </c>
      <c r="F1478" s="8" t="s">
        <v>5850</v>
      </c>
      <c r="G1478" s="6" t="s">
        <v>51</v>
      </c>
      <c r="H1478" s="6" t="s">
        <v>52</v>
      </c>
      <c r="I1478" s="8" t="s">
        <v>120</v>
      </c>
      <c r="J1478" s="9">
        <v>1</v>
      </c>
      <c r="K1478" s="9">
        <v>147</v>
      </c>
      <c r="L1478" s="9">
        <v>2024</v>
      </c>
      <c r="M1478" s="8" t="s">
        <v>7932</v>
      </c>
      <c r="N1478" s="8" t="s">
        <v>40</v>
      </c>
      <c r="O1478" s="8" t="s">
        <v>41</v>
      </c>
      <c r="P1478" s="6" t="s">
        <v>75</v>
      </c>
      <c r="Q1478" s="8" t="s">
        <v>76</v>
      </c>
      <c r="R1478" s="10" t="s">
        <v>3244</v>
      </c>
      <c r="S1478" s="11"/>
      <c r="T1478" s="6"/>
      <c r="U1478" s="28" t="str">
        <f>HYPERLINK("https://media.infra-m.ru/2151/2151151/cover/2151151.jpg", "Обложка")</f>
        <v>Обложка</v>
      </c>
      <c r="V1478" s="28" t="str">
        <f>HYPERLINK("https://znanium.ru/catalog/product/1915598", "Ознакомиться")</f>
        <v>Ознакомиться</v>
      </c>
      <c r="W1478" s="8" t="s">
        <v>1052</v>
      </c>
      <c r="X1478" s="6"/>
      <c r="Y1478" s="6"/>
      <c r="Z1478" s="6"/>
      <c r="AA1478" s="6" t="s">
        <v>46</v>
      </c>
    </row>
    <row r="1479" spans="1:27" s="4" customFormat="1" ht="51.95" customHeight="1">
      <c r="A1479" s="5">
        <v>0</v>
      </c>
      <c r="B1479" s="6" t="s">
        <v>7933</v>
      </c>
      <c r="C1479" s="7">
        <v>1236</v>
      </c>
      <c r="D1479" s="8" t="s">
        <v>7934</v>
      </c>
      <c r="E1479" s="8" t="s">
        <v>7911</v>
      </c>
      <c r="F1479" s="8" t="s">
        <v>7935</v>
      </c>
      <c r="G1479" s="6" t="s">
        <v>37</v>
      </c>
      <c r="H1479" s="6" t="s">
        <v>52</v>
      </c>
      <c r="I1479" s="8" t="s">
        <v>184</v>
      </c>
      <c r="J1479" s="9">
        <v>1</v>
      </c>
      <c r="K1479" s="9">
        <v>270</v>
      </c>
      <c r="L1479" s="9">
        <v>2022</v>
      </c>
      <c r="M1479" s="8" t="s">
        <v>7936</v>
      </c>
      <c r="N1479" s="8" t="s">
        <v>40</v>
      </c>
      <c r="O1479" s="8" t="s">
        <v>41</v>
      </c>
      <c r="P1479" s="6" t="s">
        <v>75</v>
      </c>
      <c r="Q1479" s="8" t="s">
        <v>76</v>
      </c>
      <c r="R1479" s="10" t="s">
        <v>3244</v>
      </c>
      <c r="S1479" s="11"/>
      <c r="T1479" s="6"/>
      <c r="U1479" s="28" t="str">
        <f>HYPERLINK("https://media.infra-m.ru/1854/1854774/cover/1854774.jpg", "Обложка")</f>
        <v>Обложка</v>
      </c>
      <c r="V1479" s="28" t="str">
        <f>HYPERLINK("https://znanium.ru/catalog/product/1854774", "Ознакомиться")</f>
        <v>Ознакомиться</v>
      </c>
      <c r="W1479" s="8"/>
      <c r="X1479" s="6"/>
      <c r="Y1479" s="6"/>
      <c r="Z1479" s="6"/>
      <c r="AA1479" s="6" t="s">
        <v>88</v>
      </c>
    </row>
    <row r="1480" spans="1:27" s="4" customFormat="1" ht="51.95" customHeight="1">
      <c r="A1480" s="5">
        <v>0</v>
      </c>
      <c r="B1480" s="6" t="s">
        <v>7937</v>
      </c>
      <c r="C1480" s="7">
        <v>1620</v>
      </c>
      <c r="D1480" s="8" t="s">
        <v>7938</v>
      </c>
      <c r="E1480" s="8" t="s">
        <v>7939</v>
      </c>
      <c r="F1480" s="8" t="s">
        <v>7940</v>
      </c>
      <c r="G1480" s="6" t="s">
        <v>37</v>
      </c>
      <c r="H1480" s="6" t="s">
        <v>38</v>
      </c>
      <c r="I1480" s="8"/>
      <c r="J1480" s="9">
        <v>1</v>
      </c>
      <c r="K1480" s="9">
        <v>288</v>
      </c>
      <c r="L1480" s="9">
        <v>2024</v>
      </c>
      <c r="M1480" s="8" t="s">
        <v>7941</v>
      </c>
      <c r="N1480" s="8" t="s">
        <v>40</v>
      </c>
      <c r="O1480" s="8" t="s">
        <v>41</v>
      </c>
      <c r="P1480" s="6" t="s">
        <v>95</v>
      </c>
      <c r="Q1480" s="8" t="s">
        <v>76</v>
      </c>
      <c r="R1480" s="10" t="s">
        <v>234</v>
      </c>
      <c r="S1480" s="11"/>
      <c r="T1480" s="6"/>
      <c r="U1480" s="28" t="str">
        <f>HYPERLINK("https://media.infra-m.ru/2135/2135814/cover/2135814.jpg", "Обложка")</f>
        <v>Обложка</v>
      </c>
      <c r="V1480" s="28" t="str">
        <f>HYPERLINK("https://znanium.ru/catalog/product/2135814", "Ознакомиться")</f>
        <v>Ознакомиться</v>
      </c>
      <c r="W1480" s="8" t="s">
        <v>2421</v>
      </c>
      <c r="X1480" s="6"/>
      <c r="Y1480" s="6"/>
      <c r="Z1480" s="6"/>
      <c r="AA1480" s="6" t="s">
        <v>431</v>
      </c>
    </row>
    <row r="1481" spans="1:27" s="4" customFormat="1" ht="51.95" customHeight="1">
      <c r="A1481" s="5">
        <v>0</v>
      </c>
      <c r="B1481" s="6" t="s">
        <v>7942</v>
      </c>
      <c r="C1481" s="7">
        <v>1020</v>
      </c>
      <c r="D1481" s="8" t="s">
        <v>7943</v>
      </c>
      <c r="E1481" s="8" t="s">
        <v>7944</v>
      </c>
      <c r="F1481" s="8" t="s">
        <v>7945</v>
      </c>
      <c r="G1481" s="6" t="s">
        <v>51</v>
      </c>
      <c r="H1481" s="6" t="s">
        <v>38</v>
      </c>
      <c r="I1481" s="8"/>
      <c r="J1481" s="9">
        <v>1</v>
      </c>
      <c r="K1481" s="9">
        <v>176</v>
      </c>
      <c r="L1481" s="9">
        <v>2024</v>
      </c>
      <c r="M1481" s="8" t="s">
        <v>7946</v>
      </c>
      <c r="N1481" s="8" t="s">
        <v>40</v>
      </c>
      <c r="O1481" s="8" t="s">
        <v>41</v>
      </c>
      <c r="P1481" s="6" t="s">
        <v>95</v>
      </c>
      <c r="Q1481" s="8" t="s">
        <v>76</v>
      </c>
      <c r="R1481" s="10" t="s">
        <v>234</v>
      </c>
      <c r="S1481" s="11" t="s">
        <v>3173</v>
      </c>
      <c r="T1481" s="6"/>
      <c r="U1481" s="28" t="str">
        <f>HYPERLINK("https://media.infra-m.ru/2132/2132120/cover/2132120.jpg", "Обложка")</f>
        <v>Обложка</v>
      </c>
      <c r="V1481" s="28" t="str">
        <f>HYPERLINK("https://znanium.ru/catalog/product/2132120", "Ознакомиться")</f>
        <v>Ознакомиться</v>
      </c>
      <c r="W1481" s="8" t="s">
        <v>536</v>
      </c>
      <c r="X1481" s="6"/>
      <c r="Y1481" s="6"/>
      <c r="Z1481" s="6"/>
      <c r="AA1481" s="6" t="s">
        <v>2047</v>
      </c>
    </row>
    <row r="1482" spans="1:27" s="4" customFormat="1" ht="51.95" customHeight="1">
      <c r="A1482" s="5">
        <v>0</v>
      </c>
      <c r="B1482" s="6" t="s">
        <v>7947</v>
      </c>
      <c r="C1482" s="7">
        <v>1776</v>
      </c>
      <c r="D1482" s="8" t="s">
        <v>7948</v>
      </c>
      <c r="E1482" s="8" t="s">
        <v>7949</v>
      </c>
      <c r="F1482" s="8" t="s">
        <v>7950</v>
      </c>
      <c r="G1482" s="6" t="s">
        <v>37</v>
      </c>
      <c r="H1482" s="6" t="s">
        <v>84</v>
      </c>
      <c r="I1482" s="8" t="s">
        <v>85</v>
      </c>
      <c r="J1482" s="9">
        <v>1</v>
      </c>
      <c r="K1482" s="9">
        <v>352</v>
      </c>
      <c r="L1482" s="9">
        <v>2022</v>
      </c>
      <c r="M1482" s="8" t="s">
        <v>7951</v>
      </c>
      <c r="N1482" s="8" t="s">
        <v>40</v>
      </c>
      <c r="O1482" s="8" t="s">
        <v>41</v>
      </c>
      <c r="P1482" s="6" t="s">
        <v>42</v>
      </c>
      <c r="Q1482" s="8" t="s">
        <v>43</v>
      </c>
      <c r="R1482" s="10" t="s">
        <v>3612</v>
      </c>
      <c r="S1482" s="11"/>
      <c r="T1482" s="6"/>
      <c r="U1482" s="28" t="str">
        <f>HYPERLINK("https://media.infra-m.ru/1877/1877289/cover/1877289.jpg", "Обложка")</f>
        <v>Обложка</v>
      </c>
      <c r="V1482" s="28" t="str">
        <f>HYPERLINK("https://znanium.ru/catalog/product/1877289", "Ознакомиться")</f>
        <v>Ознакомиться</v>
      </c>
      <c r="W1482" s="8" t="s">
        <v>45</v>
      </c>
      <c r="X1482" s="6"/>
      <c r="Y1482" s="6"/>
      <c r="Z1482" s="6"/>
      <c r="AA1482" s="6" t="s">
        <v>148</v>
      </c>
    </row>
    <row r="1483" spans="1:27" s="4" customFormat="1" ht="51.95" customHeight="1">
      <c r="A1483" s="5">
        <v>0</v>
      </c>
      <c r="B1483" s="6" t="s">
        <v>7952</v>
      </c>
      <c r="C1483" s="7">
        <v>1512</v>
      </c>
      <c r="D1483" s="8" t="s">
        <v>7953</v>
      </c>
      <c r="E1483" s="8" t="s">
        <v>7954</v>
      </c>
      <c r="F1483" s="8" t="s">
        <v>7955</v>
      </c>
      <c r="G1483" s="6" t="s">
        <v>37</v>
      </c>
      <c r="H1483" s="6" t="s">
        <v>84</v>
      </c>
      <c r="I1483" s="8" t="s">
        <v>85</v>
      </c>
      <c r="J1483" s="9">
        <v>1</v>
      </c>
      <c r="K1483" s="9">
        <v>280</v>
      </c>
      <c r="L1483" s="9">
        <v>2023</v>
      </c>
      <c r="M1483" s="8" t="s">
        <v>7956</v>
      </c>
      <c r="N1483" s="8" t="s">
        <v>40</v>
      </c>
      <c r="O1483" s="8" t="s">
        <v>41</v>
      </c>
      <c r="P1483" s="6" t="s">
        <v>42</v>
      </c>
      <c r="Q1483" s="8" t="s">
        <v>43</v>
      </c>
      <c r="R1483" s="10" t="s">
        <v>3612</v>
      </c>
      <c r="S1483" s="11"/>
      <c r="T1483" s="6"/>
      <c r="U1483" s="28" t="str">
        <f>HYPERLINK("https://media.infra-m.ru/1894/1894734/cover/1894734.jpg", "Обложка")</f>
        <v>Обложка</v>
      </c>
      <c r="V1483" s="28" t="str">
        <f>HYPERLINK("https://znanium.ru/catalog/product/1894734", "Ознакомиться")</f>
        <v>Ознакомиться</v>
      </c>
      <c r="W1483" s="8" t="s">
        <v>45</v>
      </c>
      <c r="X1483" s="6"/>
      <c r="Y1483" s="6"/>
      <c r="Z1483" s="6"/>
      <c r="AA1483" s="6" t="s">
        <v>148</v>
      </c>
    </row>
    <row r="1484" spans="1:27" s="4" customFormat="1" ht="44.1" customHeight="1">
      <c r="A1484" s="5">
        <v>0</v>
      </c>
      <c r="B1484" s="6" t="s">
        <v>7957</v>
      </c>
      <c r="C1484" s="7">
        <v>1620</v>
      </c>
      <c r="D1484" s="8" t="s">
        <v>7958</v>
      </c>
      <c r="E1484" s="8" t="s">
        <v>7959</v>
      </c>
      <c r="F1484" s="8" t="s">
        <v>7960</v>
      </c>
      <c r="G1484" s="6" t="s">
        <v>37</v>
      </c>
      <c r="H1484" s="6" t="s">
        <v>84</v>
      </c>
      <c r="I1484" s="8" t="s">
        <v>85</v>
      </c>
      <c r="J1484" s="9">
        <v>1</v>
      </c>
      <c r="K1484" s="9">
        <v>384</v>
      </c>
      <c r="L1484" s="9">
        <v>2020</v>
      </c>
      <c r="M1484" s="8" t="s">
        <v>7961</v>
      </c>
      <c r="N1484" s="8" t="s">
        <v>40</v>
      </c>
      <c r="O1484" s="8" t="s">
        <v>41</v>
      </c>
      <c r="P1484" s="6" t="s">
        <v>42</v>
      </c>
      <c r="Q1484" s="8" t="s">
        <v>43</v>
      </c>
      <c r="R1484" s="10" t="s">
        <v>285</v>
      </c>
      <c r="S1484" s="11"/>
      <c r="T1484" s="6"/>
      <c r="U1484" s="28" t="str">
        <f>HYPERLINK("https://media.infra-m.ru/1080/1080555/cover/1080555.jpg", "Обложка")</f>
        <v>Обложка</v>
      </c>
      <c r="V1484" s="28" t="str">
        <f>HYPERLINK("https://znanium.ru/catalog/product/1080555", "Ознакомиться")</f>
        <v>Ознакомиться</v>
      </c>
      <c r="W1484" s="8" t="s">
        <v>45</v>
      </c>
      <c r="X1484" s="6"/>
      <c r="Y1484" s="6"/>
      <c r="Z1484" s="6"/>
      <c r="AA1484" s="6" t="s">
        <v>148</v>
      </c>
    </row>
    <row r="1485" spans="1:27" s="4" customFormat="1" ht="42" customHeight="1">
      <c r="A1485" s="5">
        <v>0</v>
      </c>
      <c r="B1485" s="6" t="s">
        <v>7962</v>
      </c>
      <c r="C1485" s="13">
        <v>780</v>
      </c>
      <c r="D1485" s="8" t="s">
        <v>7963</v>
      </c>
      <c r="E1485" s="8" t="s">
        <v>7964</v>
      </c>
      <c r="F1485" s="8" t="s">
        <v>1816</v>
      </c>
      <c r="G1485" s="6" t="s">
        <v>37</v>
      </c>
      <c r="H1485" s="6" t="s">
        <v>38</v>
      </c>
      <c r="I1485" s="8"/>
      <c r="J1485" s="9">
        <v>1</v>
      </c>
      <c r="K1485" s="9">
        <v>144</v>
      </c>
      <c r="L1485" s="9">
        <v>2023</v>
      </c>
      <c r="M1485" s="8" t="s">
        <v>7965</v>
      </c>
      <c r="N1485" s="8" t="s">
        <v>40</v>
      </c>
      <c r="O1485" s="8" t="s">
        <v>41</v>
      </c>
      <c r="P1485" s="6" t="s">
        <v>42</v>
      </c>
      <c r="Q1485" s="8" t="s">
        <v>43</v>
      </c>
      <c r="R1485" s="10" t="s">
        <v>308</v>
      </c>
      <c r="S1485" s="11"/>
      <c r="T1485" s="6"/>
      <c r="U1485" s="28" t="str">
        <f>HYPERLINK("https://media.infra-m.ru/1975/1975147/cover/1975147.jpg", "Обложка")</f>
        <v>Обложка</v>
      </c>
      <c r="V1485" s="28" t="str">
        <f>HYPERLINK("https://znanium.ru/catalog/product/1047144", "Ознакомиться")</f>
        <v>Ознакомиться</v>
      </c>
      <c r="W1485" s="8" t="s">
        <v>1393</v>
      </c>
      <c r="X1485" s="6"/>
      <c r="Y1485" s="6"/>
      <c r="Z1485" s="6"/>
      <c r="AA1485" s="6" t="s">
        <v>148</v>
      </c>
    </row>
    <row r="1486" spans="1:27" s="4" customFormat="1" ht="42" customHeight="1">
      <c r="A1486" s="5">
        <v>0</v>
      </c>
      <c r="B1486" s="6" t="s">
        <v>7966</v>
      </c>
      <c r="C1486" s="7">
        <v>1320</v>
      </c>
      <c r="D1486" s="8" t="s">
        <v>7967</v>
      </c>
      <c r="E1486" s="8" t="s">
        <v>7968</v>
      </c>
      <c r="F1486" s="8" t="s">
        <v>7969</v>
      </c>
      <c r="G1486" s="6" t="s">
        <v>37</v>
      </c>
      <c r="H1486" s="6" t="s">
        <v>84</v>
      </c>
      <c r="I1486" s="8" t="s">
        <v>85</v>
      </c>
      <c r="J1486" s="9">
        <v>1</v>
      </c>
      <c r="K1486" s="9">
        <v>312</v>
      </c>
      <c r="L1486" s="9">
        <v>2019</v>
      </c>
      <c r="M1486" s="8" t="s">
        <v>7970</v>
      </c>
      <c r="N1486" s="8" t="s">
        <v>40</v>
      </c>
      <c r="O1486" s="8" t="s">
        <v>41</v>
      </c>
      <c r="P1486" s="6" t="s">
        <v>42</v>
      </c>
      <c r="Q1486" s="8" t="s">
        <v>43</v>
      </c>
      <c r="R1486" s="10" t="s">
        <v>350</v>
      </c>
      <c r="S1486" s="11"/>
      <c r="T1486" s="6"/>
      <c r="U1486" s="28" t="str">
        <f>HYPERLINK("https://media.infra-m.ru/1039/1039347/cover/1039347.jpg", "Обложка")</f>
        <v>Обложка</v>
      </c>
      <c r="V1486" s="28" t="str">
        <f>HYPERLINK("https://znanium.ru/catalog/product/1039347", "Ознакомиться")</f>
        <v>Ознакомиться</v>
      </c>
      <c r="W1486" s="8" t="s">
        <v>45</v>
      </c>
      <c r="X1486" s="6"/>
      <c r="Y1486" s="6"/>
      <c r="Z1486" s="6"/>
      <c r="AA1486" s="6" t="s">
        <v>148</v>
      </c>
    </row>
    <row r="1487" spans="1:27" s="4" customFormat="1" ht="44.1" customHeight="1">
      <c r="A1487" s="5">
        <v>0</v>
      </c>
      <c r="B1487" s="6" t="s">
        <v>7971</v>
      </c>
      <c r="C1487" s="7">
        <v>1769.9</v>
      </c>
      <c r="D1487" s="8" t="s">
        <v>7972</v>
      </c>
      <c r="E1487" s="8" t="s">
        <v>7973</v>
      </c>
      <c r="F1487" s="8" t="s">
        <v>969</v>
      </c>
      <c r="G1487" s="6" t="s">
        <v>58</v>
      </c>
      <c r="H1487" s="6" t="s">
        <v>410</v>
      </c>
      <c r="I1487" s="8"/>
      <c r="J1487" s="9">
        <v>1</v>
      </c>
      <c r="K1487" s="9">
        <v>352</v>
      </c>
      <c r="L1487" s="9">
        <v>2022</v>
      </c>
      <c r="M1487" s="8" t="s">
        <v>7974</v>
      </c>
      <c r="N1487" s="8" t="s">
        <v>40</v>
      </c>
      <c r="O1487" s="8" t="s">
        <v>41</v>
      </c>
      <c r="P1487" s="6" t="s">
        <v>42</v>
      </c>
      <c r="Q1487" s="8" t="s">
        <v>43</v>
      </c>
      <c r="R1487" s="10" t="s">
        <v>749</v>
      </c>
      <c r="S1487" s="11"/>
      <c r="T1487" s="6"/>
      <c r="U1487" s="28" t="str">
        <f>HYPERLINK("https://media.infra-m.ru/1875/1875529/cover/1875529.jpg", "Обложка")</f>
        <v>Обложка</v>
      </c>
      <c r="V1487" s="28" t="str">
        <f>HYPERLINK("https://znanium.ru/catalog/product/1832360", "Ознакомиться")</f>
        <v>Ознакомиться</v>
      </c>
      <c r="W1487" s="8" t="s">
        <v>78</v>
      </c>
      <c r="X1487" s="6"/>
      <c r="Y1487" s="6"/>
      <c r="Z1487" s="6"/>
      <c r="AA1487" s="6" t="s">
        <v>315</v>
      </c>
    </row>
    <row r="1488" spans="1:27" s="4" customFormat="1" ht="42" customHeight="1">
      <c r="A1488" s="5">
        <v>0</v>
      </c>
      <c r="B1488" s="6" t="s">
        <v>7975</v>
      </c>
      <c r="C1488" s="7">
        <v>1080</v>
      </c>
      <c r="D1488" s="8" t="s">
        <v>7976</v>
      </c>
      <c r="E1488" s="8" t="s">
        <v>7977</v>
      </c>
      <c r="F1488" s="8" t="s">
        <v>7978</v>
      </c>
      <c r="G1488" s="6" t="s">
        <v>51</v>
      </c>
      <c r="H1488" s="6" t="s">
        <v>38</v>
      </c>
      <c r="I1488" s="8"/>
      <c r="J1488" s="9">
        <v>1</v>
      </c>
      <c r="K1488" s="9">
        <v>232</v>
      </c>
      <c r="L1488" s="9">
        <v>2022</v>
      </c>
      <c r="M1488" s="8" t="s">
        <v>7979</v>
      </c>
      <c r="N1488" s="8" t="s">
        <v>40</v>
      </c>
      <c r="O1488" s="8" t="s">
        <v>41</v>
      </c>
      <c r="P1488" s="6" t="s">
        <v>42</v>
      </c>
      <c r="Q1488" s="8" t="s">
        <v>43</v>
      </c>
      <c r="R1488" s="10" t="s">
        <v>69</v>
      </c>
      <c r="S1488" s="11"/>
      <c r="T1488" s="6"/>
      <c r="U1488" s="28" t="str">
        <f>HYPERLINK("https://media.infra-m.ru/1865/1865497/cover/1865497.jpg", "Обложка")</f>
        <v>Обложка</v>
      </c>
      <c r="V1488" s="28" t="str">
        <f>HYPERLINK("https://znanium.ru/catalog/product/1816213", "Ознакомиться")</f>
        <v>Ознакомиться</v>
      </c>
      <c r="W1488" s="8"/>
      <c r="X1488" s="6"/>
      <c r="Y1488" s="6"/>
      <c r="Z1488" s="6"/>
      <c r="AA1488" s="6" t="s">
        <v>353</v>
      </c>
    </row>
    <row r="1489" spans="1:27" s="4" customFormat="1" ht="44.1" customHeight="1">
      <c r="A1489" s="5">
        <v>0</v>
      </c>
      <c r="B1489" s="6" t="s">
        <v>7980</v>
      </c>
      <c r="C1489" s="13">
        <v>845.9</v>
      </c>
      <c r="D1489" s="8" t="s">
        <v>7981</v>
      </c>
      <c r="E1489" s="8" t="s">
        <v>7982</v>
      </c>
      <c r="F1489" s="8" t="s">
        <v>7983</v>
      </c>
      <c r="G1489" s="6" t="s">
        <v>51</v>
      </c>
      <c r="H1489" s="6" t="s">
        <v>38</v>
      </c>
      <c r="I1489" s="8"/>
      <c r="J1489" s="9">
        <v>1</v>
      </c>
      <c r="K1489" s="9">
        <v>208</v>
      </c>
      <c r="L1489" s="9">
        <v>2019</v>
      </c>
      <c r="M1489" s="8" t="s">
        <v>7984</v>
      </c>
      <c r="N1489" s="8" t="s">
        <v>40</v>
      </c>
      <c r="O1489" s="8" t="s">
        <v>41</v>
      </c>
      <c r="P1489" s="6" t="s">
        <v>42</v>
      </c>
      <c r="Q1489" s="8" t="s">
        <v>300</v>
      </c>
      <c r="R1489" s="10" t="s">
        <v>7985</v>
      </c>
      <c r="S1489" s="11"/>
      <c r="T1489" s="6"/>
      <c r="U1489" s="28" t="str">
        <f>HYPERLINK("https://media.infra-m.ru/1010/1010062/cover/1010062.jpg", "Обложка")</f>
        <v>Обложка</v>
      </c>
      <c r="V1489" s="28" t="str">
        <f>HYPERLINK("https://znanium.ru/catalog/product/1010062", "Ознакомиться")</f>
        <v>Ознакомиться</v>
      </c>
      <c r="W1489" s="8" t="s">
        <v>114</v>
      </c>
      <c r="X1489" s="6"/>
      <c r="Y1489" s="6"/>
      <c r="Z1489" s="6"/>
      <c r="AA1489" s="6" t="s">
        <v>302</v>
      </c>
    </row>
    <row r="1490" spans="1:27" s="4" customFormat="1" ht="51.95" customHeight="1">
      <c r="A1490" s="5">
        <v>0</v>
      </c>
      <c r="B1490" s="6" t="s">
        <v>7986</v>
      </c>
      <c r="C1490" s="7">
        <v>1313.9</v>
      </c>
      <c r="D1490" s="8" t="s">
        <v>7987</v>
      </c>
      <c r="E1490" s="8" t="s">
        <v>7988</v>
      </c>
      <c r="F1490" s="8" t="s">
        <v>4280</v>
      </c>
      <c r="G1490" s="6" t="s">
        <v>58</v>
      </c>
      <c r="H1490" s="6" t="s">
        <v>38</v>
      </c>
      <c r="I1490" s="8"/>
      <c r="J1490" s="9">
        <v>1</v>
      </c>
      <c r="K1490" s="9">
        <v>288</v>
      </c>
      <c r="L1490" s="9">
        <v>2018</v>
      </c>
      <c r="M1490" s="8" t="s">
        <v>7989</v>
      </c>
      <c r="N1490" s="8" t="s">
        <v>40</v>
      </c>
      <c r="O1490" s="8" t="s">
        <v>41</v>
      </c>
      <c r="P1490" s="6" t="s">
        <v>4419</v>
      </c>
      <c r="Q1490" s="8" t="s">
        <v>76</v>
      </c>
      <c r="R1490" s="10" t="s">
        <v>234</v>
      </c>
      <c r="S1490" s="11"/>
      <c r="T1490" s="6"/>
      <c r="U1490" s="28" t="str">
        <f>HYPERLINK("https://media.infra-m.ru/1815/1815907/cover/1815907.jpg", "Обложка")</f>
        <v>Обложка</v>
      </c>
      <c r="V1490" s="28" t="str">
        <f>HYPERLINK("https://znanium.ru/catalog/product/1225247", "Ознакомиться")</f>
        <v>Ознакомиться</v>
      </c>
      <c r="W1490" s="8" t="s">
        <v>731</v>
      </c>
      <c r="X1490" s="6"/>
      <c r="Y1490" s="6"/>
      <c r="Z1490" s="6"/>
      <c r="AA1490" s="6" t="s">
        <v>750</v>
      </c>
    </row>
    <row r="1491" spans="1:27" s="4" customFormat="1" ht="42" customHeight="1">
      <c r="A1491" s="5">
        <v>0</v>
      </c>
      <c r="B1491" s="6" t="s">
        <v>7990</v>
      </c>
      <c r="C1491" s="13">
        <v>984</v>
      </c>
      <c r="D1491" s="8" t="s">
        <v>7991</v>
      </c>
      <c r="E1491" s="8" t="s">
        <v>7992</v>
      </c>
      <c r="F1491" s="8" t="s">
        <v>2375</v>
      </c>
      <c r="G1491" s="6" t="s">
        <v>37</v>
      </c>
      <c r="H1491" s="6" t="s">
        <v>38</v>
      </c>
      <c r="I1491" s="8"/>
      <c r="J1491" s="9">
        <v>1</v>
      </c>
      <c r="K1491" s="9">
        <v>176</v>
      </c>
      <c r="L1491" s="9">
        <v>2024</v>
      </c>
      <c r="M1491" s="8" t="s">
        <v>7993</v>
      </c>
      <c r="N1491" s="8" t="s">
        <v>40</v>
      </c>
      <c r="O1491" s="8" t="s">
        <v>41</v>
      </c>
      <c r="P1491" s="6" t="s">
        <v>42</v>
      </c>
      <c r="Q1491" s="8" t="s">
        <v>43</v>
      </c>
      <c r="R1491" s="10" t="s">
        <v>314</v>
      </c>
      <c r="S1491" s="11"/>
      <c r="T1491" s="6"/>
      <c r="U1491" s="28" t="str">
        <f>HYPERLINK("https://media.infra-m.ru/2129/2129575/cover/2129575.jpg", "Обложка")</f>
        <v>Обложка</v>
      </c>
      <c r="V1491" s="28" t="str">
        <f>HYPERLINK("https://znanium.ru/catalog/product/2129575", "Ознакомиться")</f>
        <v>Ознакомиться</v>
      </c>
      <c r="W1491" s="8" t="s">
        <v>568</v>
      </c>
      <c r="X1491" s="6"/>
      <c r="Y1491" s="6"/>
      <c r="Z1491" s="6"/>
      <c r="AA1491" s="6" t="s">
        <v>46</v>
      </c>
    </row>
    <row r="1492" spans="1:27" s="15" customFormat="1" ht="21.95" customHeight="1"/>
    <row r="1493" spans="1:27" ht="15.95" customHeight="1">
      <c r="A1493" s="25" t="s">
        <v>23</v>
      </c>
      <c r="B1493" s="25"/>
    </row>
    <row r="1494" spans="1:27" s="16" customFormat="1" ht="12.95" customHeight="1"/>
    <row r="1495" spans="1:27" s="16" customFormat="1" ht="12.95" customHeight="1">
      <c r="A1495" s="26" t="s">
        <v>7994</v>
      </c>
      <c r="B1495" s="26"/>
      <c r="C1495" s="26" t="s">
        <v>7995</v>
      </c>
      <c r="D1495" s="26"/>
      <c r="E1495" s="26"/>
    </row>
    <row r="1496" spans="1:27" s="16" customFormat="1" ht="12.95" customHeight="1">
      <c r="A1496" s="26" t="s">
        <v>4233</v>
      </c>
      <c r="B1496" s="26"/>
      <c r="C1496" s="26" t="s">
        <v>7996</v>
      </c>
      <c r="D1496" s="26"/>
      <c r="E1496" s="26"/>
    </row>
    <row r="1497" spans="1:27" s="16" customFormat="1" ht="12.95" customHeight="1">
      <c r="A1497" s="26" t="s">
        <v>7997</v>
      </c>
      <c r="B1497" s="26"/>
      <c r="C1497" s="26" t="s">
        <v>7998</v>
      </c>
      <c r="D1497" s="26"/>
      <c r="E1497" s="26"/>
    </row>
    <row r="1498" spans="1:27" s="16" customFormat="1" ht="12.95" customHeight="1">
      <c r="A1498" s="26" t="s">
        <v>7999</v>
      </c>
      <c r="B1498" s="26"/>
      <c r="C1498" s="26" t="s">
        <v>8000</v>
      </c>
      <c r="D1498" s="26"/>
      <c r="E1498" s="26"/>
    </row>
    <row r="1499" spans="1:27" s="16" customFormat="1" ht="12.95" customHeight="1">
      <c r="A1499" s="26" t="s">
        <v>4901</v>
      </c>
      <c r="B1499" s="26"/>
      <c r="C1499" s="26" t="s">
        <v>8001</v>
      </c>
      <c r="D1499" s="26"/>
      <c r="E1499" s="26"/>
    </row>
    <row r="1500" spans="1:27" s="16" customFormat="1" ht="12.95" customHeight="1">
      <c r="A1500" s="26" t="s">
        <v>8002</v>
      </c>
      <c r="B1500" s="26"/>
      <c r="C1500" s="26" t="s">
        <v>8003</v>
      </c>
      <c r="D1500" s="26"/>
      <c r="E1500" s="26"/>
    </row>
    <row r="1501" spans="1:27" s="16" customFormat="1" ht="12.95" customHeight="1">
      <c r="A1501" s="26" t="s">
        <v>8004</v>
      </c>
      <c r="B1501" s="26"/>
      <c r="C1501" s="26" t="s">
        <v>8000</v>
      </c>
      <c r="D1501" s="26"/>
      <c r="E1501" s="26"/>
    </row>
    <row r="1502" spans="1:27" s="16" customFormat="1" ht="12.95" customHeight="1">
      <c r="A1502" s="26" t="s">
        <v>5745</v>
      </c>
      <c r="B1502" s="26"/>
      <c r="C1502" s="26" t="s">
        <v>8001</v>
      </c>
      <c r="D1502" s="26"/>
      <c r="E1502" s="26"/>
    </row>
    <row r="1503" spans="1:27" s="16" customFormat="1" ht="12.95" customHeight="1">
      <c r="A1503" s="26" t="s">
        <v>8005</v>
      </c>
      <c r="B1503" s="26"/>
      <c r="C1503" s="26" t="s">
        <v>8006</v>
      </c>
      <c r="D1503" s="26"/>
      <c r="E1503" s="26"/>
    </row>
    <row r="1504" spans="1:27" s="16" customFormat="1" ht="12.95" customHeight="1">
      <c r="A1504" s="26" t="s">
        <v>8007</v>
      </c>
      <c r="B1504" s="26"/>
      <c r="C1504" s="26" t="s">
        <v>8008</v>
      </c>
      <c r="D1504" s="26"/>
      <c r="E1504" s="26"/>
    </row>
    <row r="1505" spans="1:5" s="16" customFormat="1" ht="12.95" customHeight="1">
      <c r="A1505" s="26" t="s">
        <v>8009</v>
      </c>
      <c r="B1505" s="26"/>
      <c r="C1505" s="26" t="s">
        <v>8010</v>
      </c>
      <c r="D1505" s="26"/>
      <c r="E1505" s="26"/>
    </row>
    <row r="1506" spans="1:5" s="16" customFormat="1" ht="12.95" customHeight="1">
      <c r="A1506" s="26" t="s">
        <v>8011</v>
      </c>
      <c r="B1506" s="26"/>
      <c r="C1506" s="26" t="s">
        <v>8012</v>
      </c>
      <c r="D1506" s="26"/>
      <c r="E1506" s="26"/>
    </row>
    <row r="1507" spans="1:5" s="16" customFormat="1" ht="12.95" customHeight="1">
      <c r="A1507" s="26" t="s">
        <v>8013</v>
      </c>
      <c r="B1507" s="26"/>
      <c r="C1507" s="26" t="s">
        <v>8014</v>
      </c>
      <c r="D1507" s="26"/>
      <c r="E1507" s="26"/>
    </row>
    <row r="1508" spans="1:5" s="16" customFormat="1" ht="12.95" customHeight="1">
      <c r="A1508" s="26" t="s">
        <v>8015</v>
      </c>
      <c r="B1508" s="26"/>
      <c r="C1508" s="26" t="s">
        <v>8016</v>
      </c>
      <c r="D1508" s="26"/>
      <c r="E1508" s="26"/>
    </row>
    <row r="1509" spans="1:5" s="16" customFormat="1" ht="12.95" customHeight="1">
      <c r="A1509" s="26" t="s">
        <v>8017</v>
      </c>
      <c r="B1509" s="26"/>
      <c r="C1509" s="26" t="s">
        <v>8016</v>
      </c>
      <c r="D1509" s="26"/>
      <c r="E1509" s="26"/>
    </row>
    <row r="1510" spans="1:5" s="16" customFormat="1" ht="12.95" customHeight="1">
      <c r="A1510" s="26" t="s">
        <v>8018</v>
      </c>
      <c r="B1510" s="26"/>
      <c r="C1510" s="26" t="s">
        <v>8019</v>
      </c>
      <c r="D1510" s="26"/>
      <c r="E1510" s="26"/>
    </row>
    <row r="1511" spans="1:5" s="16" customFormat="1" ht="12.95" customHeight="1">
      <c r="A1511" s="26" t="s">
        <v>8020</v>
      </c>
      <c r="B1511" s="26"/>
      <c r="C1511" s="26" t="s">
        <v>8021</v>
      </c>
      <c r="D1511" s="26"/>
      <c r="E1511" s="26"/>
    </row>
    <row r="1512" spans="1:5" s="16" customFormat="1" ht="12.95" customHeight="1">
      <c r="A1512" s="26" t="s">
        <v>8022</v>
      </c>
      <c r="B1512" s="26"/>
      <c r="C1512" s="26" t="s">
        <v>8023</v>
      </c>
      <c r="D1512" s="26"/>
      <c r="E1512" s="26"/>
    </row>
    <row r="1513" spans="1:5" s="16" customFormat="1" ht="12.95" customHeight="1">
      <c r="A1513" s="26" t="s">
        <v>8024</v>
      </c>
      <c r="B1513" s="26"/>
      <c r="C1513" s="26" t="s">
        <v>8025</v>
      </c>
      <c r="D1513" s="26"/>
      <c r="E1513" s="26"/>
    </row>
    <row r="1514" spans="1:5" s="16" customFormat="1" ht="12.95" customHeight="1">
      <c r="A1514" s="26" t="s">
        <v>8026</v>
      </c>
      <c r="B1514" s="26"/>
      <c r="C1514" s="26" t="s">
        <v>8027</v>
      </c>
      <c r="D1514" s="26"/>
      <c r="E1514" s="26"/>
    </row>
    <row r="1515" spans="1:5" s="16" customFormat="1" ht="12.95" customHeight="1">
      <c r="A1515" s="26" t="s">
        <v>8028</v>
      </c>
      <c r="B1515" s="26"/>
      <c r="C1515" s="26" t="s">
        <v>8029</v>
      </c>
      <c r="D1515" s="26"/>
      <c r="E1515" s="26"/>
    </row>
    <row r="1516" spans="1:5" s="16" customFormat="1" ht="12.95" customHeight="1">
      <c r="A1516" s="26" t="s">
        <v>8030</v>
      </c>
      <c r="B1516" s="26"/>
      <c r="C1516" s="26" t="s">
        <v>8031</v>
      </c>
      <c r="D1516" s="26"/>
      <c r="E1516" s="26"/>
    </row>
    <row r="1517" spans="1:5" s="16" customFormat="1" ht="12.95" customHeight="1">
      <c r="A1517" s="26" t="s">
        <v>8032</v>
      </c>
      <c r="B1517" s="26"/>
      <c r="C1517" s="26" t="s">
        <v>8031</v>
      </c>
      <c r="D1517" s="26"/>
      <c r="E1517" s="26"/>
    </row>
    <row r="1518" spans="1:5" s="16" customFormat="1" ht="12.95" customHeight="1">
      <c r="A1518" s="26" t="s">
        <v>8033</v>
      </c>
      <c r="B1518" s="26"/>
      <c r="C1518" s="26" t="s">
        <v>8034</v>
      </c>
      <c r="D1518" s="26"/>
      <c r="E1518" s="26"/>
    </row>
    <row r="1519" spans="1:5" s="16" customFormat="1" ht="12.95" customHeight="1">
      <c r="A1519" s="26" t="s">
        <v>8035</v>
      </c>
      <c r="B1519" s="26"/>
      <c r="C1519" s="26" t="s">
        <v>8036</v>
      </c>
      <c r="D1519" s="26"/>
      <c r="E1519" s="26"/>
    </row>
    <row r="1520" spans="1:5" s="16" customFormat="1" ht="12.95" customHeight="1">
      <c r="A1520" s="26" t="s">
        <v>8037</v>
      </c>
      <c r="B1520" s="26"/>
      <c r="C1520" s="26" t="s">
        <v>8038</v>
      </c>
      <c r="D1520" s="26"/>
      <c r="E1520" s="26"/>
    </row>
    <row r="1521" spans="1:5" s="16" customFormat="1" ht="12.95" customHeight="1">
      <c r="A1521" s="26" t="s">
        <v>8039</v>
      </c>
      <c r="B1521" s="26"/>
      <c r="C1521" s="26" t="s">
        <v>8040</v>
      </c>
      <c r="D1521" s="26"/>
      <c r="E1521" s="26"/>
    </row>
    <row r="1522" spans="1:5" s="16" customFormat="1" ht="12.95" customHeight="1">
      <c r="A1522" s="26" t="s">
        <v>8041</v>
      </c>
      <c r="B1522" s="26"/>
      <c r="C1522" s="26" t="s">
        <v>8042</v>
      </c>
      <c r="D1522" s="26"/>
      <c r="E1522" s="26"/>
    </row>
    <row r="1523" spans="1:5" s="16" customFormat="1" ht="12.95" customHeight="1">
      <c r="A1523" s="26" t="s">
        <v>8043</v>
      </c>
      <c r="B1523" s="26"/>
      <c r="C1523" s="26" t="s">
        <v>8044</v>
      </c>
      <c r="D1523" s="26"/>
      <c r="E1523" s="26"/>
    </row>
    <row r="1524" spans="1:5" s="16" customFormat="1" ht="12.95" customHeight="1">
      <c r="A1524" s="26" t="s">
        <v>8045</v>
      </c>
      <c r="B1524" s="26"/>
      <c r="C1524" s="26" t="s">
        <v>8046</v>
      </c>
      <c r="D1524" s="26"/>
      <c r="E1524" s="26"/>
    </row>
    <row r="1525" spans="1:5" s="16" customFormat="1" ht="12.95" customHeight="1">
      <c r="A1525" s="26" t="s">
        <v>8047</v>
      </c>
      <c r="B1525" s="26"/>
      <c r="C1525" s="26" t="s">
        <v>8048</v>
      </c>
      <c r="D1525" s="26"/>
      <c r="E1525" s="26"/>
    </row>
    <row r="1526" spans="1:5" s="16" customFormat="1" ht="12.95" customHeight="1">
      <c r="A1526" s="26" t="s">
        <v>8049</v>
      </c>
      <c r="B1526" s="26"/>
      <c r="C1526" s="26" t="s">
        <v>8050</v>
      </c>
      <c r="D1526" s="26"/>
      <c r="E1526" s="26"/>
    </row>
    <row r="1527" spans="1:5" s="16" customFormat="1" ht="12.95" customHeight="1">
      <c r="A1527" s="26" t="s">
        <v>8051</v>
      </c>
      <c r="B1527" s="26"/>
      <c r="C1527" s="26" t="s">
        <v>8052</v>
      </c>
      <c r="D1527" s="26"/>
      <c r="E1527" s="26"/>
    </row>
    <row r="1528" spans="1:5" s="16" customFormat="1" ht="12.95" customHeight="1">
      <c r="A1528" s="26" t="s">
        <v>8053</v>
      </c>
      <c r="B1528" s="26"/>
      <c r="C1528" s="26" t="s">
        <v>8054</v>
      </c>
      <c r="D1528" s="26"/>
      <c r="E1528" s="26"/>
    </row>
    <row r="1529" spans="1:5" s="16" customFormat="1" ht="12.95" customHeight="1">
      <c r="A1529" s="26" t="s">
        <v>8055</v>
      </c>
      <c r="B1529" s="26"/>
      <c r="C1529" s="26" t="s">
        <v>8056</v>
      </c>
      <c r="D1529" s="26"/>
      <c r="E1529" s="26"/>
    </row>
    <row r="1530" spans="1:5" s="16" customFormat="1" ht="12.95" customHeight="1">
      <c r="A1530" s="26" t="s">
        <v>8057</v>
      </c>
      <c r="B1530" s="26"/>
      <c r="C1530" s="26" t="s">
        <v>8058</v>
      </c>
      <c r="D1530" s="26"/>
      <c r="E1530" s="26"/>
    </row>
    <row r="1531" spans="1:5" s="16" customFormat="1" ht="12.95" customHeight="1">
      <c r="A1531" s="26" t="s">
        <v>8059</v>
      </c>
      <c r="B1531" s="26"/>
      <c r="C1531" s="26" t="s">
        <v>8060</v>
      </c>
      <c r="D1531" s="26"/>
      <c r="E1531" s="26"/>
    </row>
    <row r="1532" spans="1:5" s="16" customFormat="1" ht="12.95" customHeight="1">
      <c r="A1532" s="26" t="s">
        <v>8061</v>
      </c>
      <c r="B1532" s="26"/>
      <c r="C1532" s="26" t="s">
        <v>8062</v>
      </c>
      <c r="D1532" s="26"/>
      <c r="E1532" s="26"/>
    </row>
    <row r="1533" spans="1:5" s="16" customFormat="1" ht="12.95" customHeight="1">
      <c r="A1533" s="26" t="s">
        <v>8063</v>
      </c>
      <c r="B1533" s="26"/>
      <c r="C1533" s="26" t="s">
        <v>8064</v>
      </c>
      <c r="D1533" s="26"/>
      <c r="E1533" s="26"/>
    </row>
    <row r="1534" spans="1:5" s="16" customFormat="1" ht="12.95" customHeight="1">
      <c r="A1534" s="26" t="s">
        <v>8065</v>
      </c>
      <c r="B1534" s="26"/>
      <c r="C1534" s="26" t="s">
        <v>8066</v>
      </c>
      <c r="D1534" s="26"/>
      <c r="E1534" s="26"/>
    </row>
    <row r="1535" spans="1:5" s="16" customFormat="1" ht="12.95" customHeight="1">
      <c r="A1535" s="26" t="s">
        <v>8067</v>
      </c>
      <c r="B1535" s="26"/>
      <c r="C1535" s="26" t="s">
        <v>8068</v>
      </c>
      <c r="D1535" s="26"/>
      <c r="E1535" s="26"/>
    </row>
    <row r="1536" spans="1:5" s="16" customFormat="1" ht="12.95" customHeight="1">
      <c r="A1536" s="26" t="s">
        <v>8069</v>
      </c>
      <c r="B1536" s="26"/>
      <c r="C1536" s="26" t="s">
        <v>8070</v>
      </c>
      <c r="D1536" s="26"/>
      <c r="E1536" s="26"/>
    </row>
    <row r="1537" spans="1:5" s="16" customFormat="1" ht="12.95" customHeight="1">
      <c r="A1537" s="26" t="s">
        <v>8071</v>
      </c>
      <c r="B1537" s="26"/>
      <c r="C1537" s="26" t="s">
        <v>8072</v>
      </c>
      <c r="D1537" s="26"/>
      <c r="E1537" s="26"/>
    </row>
    <row r="1538" spans="1:5" s="16" customFormat="1" ht="12.95" customHeight="1">
      <c r="A1538" s="26" t="s">
        <v>8073</v>
      </c>
      <c r="B1538" s="26"/>
      <c r="C1538" s="26" t="s">
        <v>8074</v>
      </c>
      <c r="D1538" s="26"/>
      <c r="E1538" s="26"/>
    </row>
    <row r="1539" spans="1:5" s="16" customFormat="1" ht="12.95" customHeight="1">
      <c r="A1539" s="26" t="s">
        <v>8075</v>
      </c>
      <c r="B1539" s="26"/>
      <c r="C1539" s="26" t="s">
        <v>8072</v>
      </c>
      <c r="D1539" s="26"/>
      <c r="E1539" s="26"/>
    </row>
    <row r="1540" spans="1:5" s="16" customFormat="1" ht="12.95" customHeight="1">
      <c r="A1540" s="26" t="s">
        <v>8076</v>
      </c>
      <c r="B1540" s="26"/>
      <c r="C1540" s="26" t="s">
        <v>8074</v>
      </c>
      <c r="D1540" s="26"/>
      <c r="E1540" s="26"/>
    </row>
    <row r="1541" spans="1:5" s="16" customFormat="1" ht="12.95" customHeight="1">
      <c r="A1541" s="26" t="s">
        <v>8077</v>
      </c>
      <c r="B1541" s="26"/>
      <c r="C1541" s="26" t="s">
        <v>8078</v>
      </c>
      <c r="D1541" s="26"/>
      <c r="E1541" s="26"/>
    </row>
    <row r="1542" spans="1:5" s="16" customFormat="1" ht="12.95" customHeight="1">
      <c r="A1542" s="26" t="s">
        <v>8079</v>
      </c>
      <c r="B1542" s="26"/>
      <c r="C1542" s="26" t="s">
        <v>8080</v>
      </c>
      <c r="D1542" s="26"/>
      <c r="E1542" s="26"/>
    </row>
    <row r="1543" spans="1:5" s="16" customFormat="1" ht="12.95" customHeight="1">
      <c r="A1543" s="26" t="s">
        <v>8081</v>
      </c>
      <c r="B1543" s="26"/>
      <c r="C1543" s="26" t="s">
        <v>8082</v>
      </c>
      <c r="D1543" s="26"/>
      <c r="E1543" s="26"/>
    </row>
    <row r="1544" spans="1:5" s="16" customFormat="1" ht="12.95" customHeight="1">
      <c r="A1544" s="26" t="s">
        <v>8083</v>
      </c>
      <c r="B1544" s="26"/>
      <c r="C1544" s="26" t="s">
        <v>8084</v>
      </c>
      <c r="D1544" s="26"/>
      <c r="E1544" s="26"/>
    </row>
    <row r="1545" spans="1:5" s="16" customFormat="1" ht="12.95" customHeight="1">
      <c r="A1545" s="26" t="s">
        <v>8085</v>
      </c>
      <c r="B1545" s="26"/>
      <c r="C1545" s="26" t="s">
        <v>8086</v>
      </c>
      <c r="D1545" s="26"/>
      <c r="E1545" s="26"/>
    </row>
    <row r="1546" spans="1:5" s="16" customFormat="1" ht="12.95" customHeight="1">
      <c r="A1546" s="26" t="s">
        <v>8087</v>
      </c>
      <c r="B1546" s="26"/>
      <c r="C1546" s="26" t="s">
        <v>8088</v>
      </c>
      <c r="D1546" s="26"/>
      <c r="E1546" s="26"/>
    </row>
    <row r="1547" spans="1:5" s="16" customFormat="1" ht="12.95" customHeight="1">
      <c r="A1547" s="26" t="s">
        <v>8089</v>
      </c>
      <c r="B1547" s="26"/>
      <c r="C1547" s="26" t="s">
        <v>8090</v>
      </c>
      <c r="D1547" s="26"/>
      <c r="E1547" s="26"/>
    </row>
    <row r="1548" spans="1:5" s="16" customFormat="1" ht="12.95" customHeight="1">
      <c r="A1548" s="26" t="s">
        <v>8091</v>
      </c>
      <c r="B1548" s="26"/>
      <c r="C1548" s="26" t="s">
        <v>8092</v>
      </c>
      <c r="D1548" s="26"/>
      <c r="E1548" s="26"/>
    </row>
    <row r="1549" spans="1:5" s="16" customFormat="1" ht="12.95" customHeight="1">
      <c r="A1549" s="26" t="s">
        <v>8093</v>
      </c>
      <c r="B1549" s="26"/>
      <c r="C1549" s="26" t="s">
        <v>8094</v>
      </c>
      <c r="D1549" s="26"/>
      <c r="E1549" s="26"/>
    </row>
    <row r="1550" spans="1:5" s="16" customFormat="1" ht="12.95" customHeight="1">
      <c r="A1550" s="26" t="s">
        <v>8095</v>
      </c>
      <c r="B1550" s="26"/>
      <c r="C1550" s="26" t="s">
        <v>8096</v>
      </c>
      <c r="D1550" s="26"/>
      <c r="E1550" s="26"/>
    </row>
    <row r="1551" spans="1:5" s="16" customFormat="1" ht="12.95" customHeight="1">
      <c r="A1551" s="26" t="s">
        <v>8097</v>
      </c>
      <c r="B1551" s="26"/>
      <c r="C1551" s="26" t="s">
        <v>8098</v>
      </c>
      <c r="D1551" s="26"/>
      <c r="E1551" s="26"/>
    </row>
    <row r="1552" spans="1:5" s="16" customFormat="1" ht="12.95" customHeight="1">
      <c r="A1552" s="26" t="s">
        <v>8099</v>
      </c>
      <c r="B1552" s="26"/>
      <c r="C1552" s="26" t="s">
        <v>8100</v>
      </c>
      <c r="D1552" s="26"/>
      <c r="E1552" s="26"/>
    </row>
    <row r="1553" spans="1:5" s="16" customFormat="1" ht="12.95" customHeight="1">
      <c r="A1553" s="26" t="s">
        <v>8101</v>
      </c>
      <c r="B1553" s="26"/>
      <c r="C1553" s="26" t="s">
        <v>8090</v>
      </c>
      <c r="D1553" s="26"/>
      <c r="E1553" s="26"/>
    </row>
    <row r="1554" spans="1:5" s="16" customFormat="1" ht="12.95" customHeight="1">
      <c r="A1554" s="26" t="s">
        <v>8102</v>
      </c>
      <c r="B1554" s="26"/>
      <c r="C1554" s="26" t="s">
        <v>8096</v>
      </c>
      <c r="D1554" s="26"/>
      <c r="E1554" s="26"/>
    </row>
    <row r="1555" spans="1:5" s="16" customFormat="1" ht="12.95" customHeight="1">
      <c r="A1555" s="26" t="s">
        <v>8103</v>
      </c>
      <c r="B1555" s="26"/>
      <c r="C1555" s="26" t="s">
        <v>8104</v>
      </c>
      <c r="D1555" s="26"/>
      <c r="E1555" s="26"/>
    </row>
    <row r="1556" spans="1:5" s="16" customFormat="1" ht="26.1" customHeight="1">
      <c r="A1556" s="26" t="s">
        <v>8105</v>
      </c>
      <c r="B1556" s="26"/>
      <c r="C1556" s="26" t="s">
        <v>8106</v>
      </c>
      <c r="D1556" s="26"/>
      <c r="E1556" s="26"/>
    </row>
    <row r="1557" spans="1:5" s="16" customFormat="1" ht="12.95" customHeight="1">
      <c r="A1557" s="26" t="s">
        <v>8107</v>
      </c>
      <c r="B1557" s="26"/>
      <c r="C1557" s="26" t="s">
        <v>8108</v>
      </c>
      <c r="D1557" s="26"/>
      <c r="E1557" s="26"/>
    </row>
    <row r="1558" spans="1:5" s="16" customFormat="1" ht="12.95" customHeight="1">
      <c r="A1558" s="26" t="s">
        <v>8109</v>
      </c>
      <c r="B1558" s="26"/>
      <c r="C1558" s="26" t="s">
        <v>8110</v>
      </c>
      <c r="D1558" s="26"/>
      <c r="E1558" s="26"/>
    </row>
    <row r="1559" spans="1:5" s="16" customFormat="1" ht="12.95" customHeight="1">
      <c r="A1559" s="26" t="s">
        <v>8111</v>
      </c>
      <c r="B1559" s="26"/>
      <c r="C1559" s="26" t="s">
        <v>8112</v>
      </c>
      <c r="D1559" s="26"/>
      <c r="E1559" s="26"/>
    </row>
    <row r="1560" spans="1:5" s="16" customFormat="1" ht="12.95" customHeight="1">
      <c r="A1560" s="26" t="s">
        <v>8113</v>
      </c>
      <c r="B1560" s="26"/>
      <c r="C1560" s="26" t="s">
        <v>8114</v>
      </c>
      <c r="D1560" s="26"/>
      <c r="E1560" s="26"/>
    </row>
    <row r="1561" spans="1:5" s="16" customFormat="1" ht="12.95" customHeight="1">
      <c r="A1561" s="26" t="s">
        <v>4161</v>
      </c>
      <c r="B1561" s="26"/>
      <c r="C1561" s="26" t="s">
        <v>8115</v>
      </c>
      <c r="D1561" s="26"/>
      <c r="E1561" s="26"/>
    </row>
    <row r="1562" spans="1:5" s="16" customFormat="1" ht="12.95" customHeight="1">
      <c r="A1562" s="26" t="s">
        <v>8116</v>
      </c>
      <c r="B1562" s="26"/>
      <c r="C1562" s="26" t="s">
        <v>8117</v>
      </c>
      <c r="D1562" s="26"/>
      <c r="E1562" s="26"/>
    </row>
    <row r="1563" spans="1:5" s="16" customFormat="1" ht="12.95" customHeight="1">
      <c r="A1563" s="26" t="s">
        <v>8118</v>
      </c>
      <c r="B1563" s="26"/>
      <c r="C1563" s="26" t="s">
        <v>8115</v>
      </c>
      <c r="D1563" s="26"/>
      <c r="E1563" s="26"/>
    </row>
    <row r="1564" spans="1:5" s="16" customFormat="1" ht="12.95" customHeight="1">
      <c r="A1564" s="26" t="s">
        <v>8119</v>
      </c>
      <c r="B1564" s="26"/>
      <c r="C1564" s="26" t="s">
        <v>8117</v>
      </c>
      <c r="D1564" s="26"/>
      <c r="E1564" s="26"/>
    </row>
    <row r="1565" spans="1:5" s="16" customFormat="1" ht="12.95" customHeight="1">
      <c r="A1565" s="26" t="s">
        <v>8120</v>
      </c>
      <c r="B1565" s="26"/>
      <c r="C1565" s="26" t="s">
        <v>8115</v>
      </c>
      <c r="D1565" s="26"/>
      <c r="E1565" s="26"/>
    </row>
    <row r="1566" spans="1:5" s="16" customFormat="1" ht="12.95" customHeight="1">
      <c r="A1566" s="26" t="s">
        <v>8121</v>
      </c>
      <c r="B1566" s="26"/>
      <c r="C1566" s="26" t="s">
        <v>8122</v>
      </c>
      <c r="D1566" s="26"/>
      <c r="E1566" s="26"/>
    </row>
    <row r="1567" spans="1:5" s="16" customFormat="1" ht="12.95" customHeight="1">
      <c r="A1567" s="26" t="s">
        <v>8123</v>
      </c>
      <c r="B1567" s="26"/>
      <c r="C1567" s="26" t="s">
        <v>8124</v>
      </c>
      <c r="D1567" s="26"/>
      <c r="E1567" s="26"/>
    </row>
    <row r="1568" spans="1:5" s="16" customFormat="1" ht="12.95" customHeight="1">
      <c r="A1568" s="26" t="s">
        <v>8125</v>
      </c>
      <c r="B1568" s="26"/>
      <c r="C1568" s="26" t="s">
        <v>8126</v>
      </c>
      <c r="D1568" s="26"/>
      <c r="E1568" s="26"/>
    </row>
    <row r="1569" spans="1:5" s="16" customFormat="1" ht="12.95" customHeight="1">
      <c r="A1569" s="26" t="s">
        <v>8127</v>
      </c>
      <c r="B1569" s="26"/>
      <c r="C1569" s="26" t="s">
        <v>8128</v>
      </c>
      <c r="D1569" s="26"/>
      <c r="E1569" s="26"/>
    </row>
    <row r="1570" spans="1:5" s="16" customFormat="1" ht="12.95" customHeight="1">
      <c r="A1570" s="26" t="s">
        <v>8129</v>
      </c>
      <c r="B1570" s="26"/>
      <c r="C1570" s="26" t="s">
        <v>8130</v>
      </c>
      <c r="D1570" s="26"/>
      <c r="E1570" s="26"/>
    </row>
    <row r="1571" spans="1:5" s="16" customFormat="1" ht="12.95" customHeight="1">
      <c r="A1571" s="26" t="s">
        <v>8131</v>
      </c>
      <c r="B1571" s="26"/>
      <c r="C1571" s="26" t="s">
        <v>8132</v>
      </c>
      <c r="D1571" s="26"/>
      <c r="E1571" s="26"/>
    </row>
    <row r="1572" spans="1:5" s="16" customFormat="1" ht="12.95" customHeight="1">
      <c r="A1572" s="26" t="s">
        <v>1783</v>
      </c>
      <c r="B1572" s="26"/>
      <c r="C1572" s="26" t="s">
        <v>8133</v>
      </c>
      <c r="D1572" s="26"/>
      <c r="E1572" s="26"/>
    </row>
    <row r="1573" spans="1:5" s="16" customFormat="1" ht="12.95" customHeight="1">
      <c r="A1573" s="26" t="s">
        <v>8134</v>
      </c>
      <c r="B1573" s="26"/>
      <c r="C1573" s="26" t="s">
        <v>8135</v>
      </c>
      <c r="D1573" s="26"/>
      <c r="E1573" s="26"/>
    </row>
    <row r="1574" spans="1:5" s="16" customFormat="1" ht="12.95" customHeight="1">
      <c r="A1574" s="26" t="s">
        <v>4937</v>
      </c>
      <c r="B1574" s="26"/>
      <c r="C1574" s="26" t="s">
        <v>8136</v>
      </c>
      <c r="D1574" s="26"/>
      <c r="E1574" s="26"/>
    </row>
    <row r="1575" spans="1:5" s="16" customFormat="1" ht="12.95" customHeight="1">
      <c r="A1575" s="26" t="s">
        <v>8137</v>
      </c>
      <c r="B1575" s="26"/>
      <c r="C1575" s="26" t="s">
        <v>8136</v>
      </c>
      <c r="D1575" s="26"/>
      <c r="E1575" s="26"/>
    </row>
    <row r="1576" spans="1:5" s="16" customFormat="1" ht="12.95" customHeight="1">
      <c r="A1576" s="26" t="s">
        <v>8138</v>
      </c>
      <c r="B1576" s="26"/>
      <c r="C1576" s="26" t="s">
        <v>8139</v>
      </c>
      <c r="D1576" s="26"/>
      <c r="E1576" s="26"/>
    </row>
    <row r="1577" spans="1:5" s="16" customFormat="1" ht="12.95" customHeight="1">
      <c r="A1577" s="26" t="s">
        <v>8140</v>
      </c>
      <c r="B1577" s="26"/>
      <c r="C1577" s="26" t="s">
        <v>8141</v>
      </c>
      <c r="D1577" s="26"/>
      <c r="E1577" s="26"/>
    </row>
    <row r="1578" spans="1:5" s="16" customFormat="1" ht="12.95" customHeight="1">
      <c r="A1578" s="26" t="s">
        <v>8142</v>
      </c>
      <c r="B1578" s="26"/>
      <c r="C1578" s="26" t="s">
        <v>8143</v>
      </c>
      <c r="D1578" s="26"/>
      <c r="E1578" s="26"/>
    </row>
    <row r="1579" spans="1:5" s="16" customFormat="1" ht="12.95" customHeight="1">
      <c r="A1579" s="26" t="s">
        <v>8144</v>
      </c>
      <c r="B1579" s="26"/>
      <c r="C1579" s="26" t="s">
        <v>8145</v>
      </c>
      <c r="D1579" s="26"/>
      <c r="E1579" s="26"/>
    </row>
    <row r="1580" spans="1:5" s="16" customFormat="1" ht="12.95" customHeight="1">
      <c r="A1580" s="26" t="s">
        <v>8146</v>
      </c>
      <c r="B1580" s="26"/>
      <c r="C1580" s="26" t="s">
        <v>8147</v>
      </c>
      <c r="D1580" s="26"/>
      <c r="E1580" s="26"/>
    </row>
    <row r="1581" spans="1:5" s="16" customFormat="1" ht="12.95" customHeight="1">
      <c r="A1581" s="26" t="s">
        <v>8148</v>
      </c>
      <c r="B1581" s="26"/>
      <c r="C1581" s="26" t="s">
        <v>8149</v>
      </c>
      <c r="D1581" s="26"/>
      <c r="E1581" s="26"/>
    </row>
    <row r="1582" spans="1:5" s="16" customFormat="1" ht="12.95" customHeight="1">
      <c r="A1582" s="26" t="s">
        <v>8150</v>
      </c>
      <c r="B1582" s="26"/>
      <c r="C1582" s="26" t="s">
        <v>8151</v>
      </c>
      <c r="D1582" s="26"/>
      <c r="E1582" s="26"/>
    </row>
    <row r="1583" spans="1:5" s="16" customFormat="1" ht="12.95" customHeight="1">
      <c r="A1583" s="26" t="s">
        <v>8152</v>
      </c>
      <c r="B1583" s="26"/>
      <c r="C1583" s="26" t="s">
        <v>8153</v>
      </c>
      <c r="D1583" s="26"/>
      <c r="E1583" s="26"/>
    </row>
    <row r="1584" spans="1:5" s="16" customFormat="1" ht="12.95" customHeight="1">
      <c r="A1584" s="26" t="s">
        <v>8154</v>
      </c>
      <c r="B1584" s="26"/>
      <c r="C1584" s="26" t="s">
        <v>8155</v>
      </c>
      <c r="D1584" s="26"/>
      <c r="E1584" s="26"/>
    </row>
    <row r="1585" spans="1:5" s="16" customFormat="1" ht="12.95" customHeight="1">
      <c r="A1585" s="26" t="s">
        <v>8156</v>
      </c>
      <c r="B1585" s="26"/>
      <c r="C1585" s="26" t="s">
        <v>8157</v>
      </c>
      <c r="D1585" s="26"/>
      <c r="E1585" s="26"/>
    </row>
    <row r="1586" spans="1:5" s="16" customFormat="1" ht="12.95" customHeight="1">
      <c r="A1586" s="26" t="s">
        <v>8158</v>
      </c>
      <c r="B1586" s="26"/>
      <c r="C1586" s="26" t="s">
        <v>8155</v>
      </c>
      <c r="D1586" s="26"/>
      <c r="E1586" s="26"/>
    </row>
    <row r="1587" spans="1:5" s="16" customFormat="1" ht="12.95" customHeight="1">
      <c r="A1587" s="26" t="s">
        <v>8159</v>
      </c>
      <c r="B1587" s="26"/>
      <c r="C1587" s="26" t="s">
        <v>8157</v>
      </c>
      <c r="D1587" s="26"/>
      <c r="E1587" s="26"/>
    </row>
    <row r="1588" spans="1:5" s="16" customFormat="1" ht="12.95" customHeight="1">
      <c r="A1588" s="26" t="s">
        <v>8160</v>
      </c>
      <c r="B1588" s="26"/>
      <c r="C1588" s="26" t="s">
        <v>8161</v>
      </c>
      <c r="D1588" s="26"/>
      <c r="E1588" s="26"/>
    </row>
    <row r="1589" spans="1:5" s="16" customFormat="1" ht="12.95" customHeight="1">
      <c r="A1589" s="26" t="s">
        <v>8162</v>
      </c>
      <c r="B1589" s="26"/>
      <c r="C1589" s="26" t="s">
        <v>8163</v>
      </c>
      <c r="D1589" s="26"/>
      <c r="E1589" s="26"/>
    </row>
    <row r="1590" spans="1:5" s="16" customFormat="1" ht="12.95" customHeight="1">
      <c r="A1590" s="26" t="s">
        <v>8164</v>
      </c>
      <c r="B1590" s="26"/>
      <c r="C1590" s="26" t="s">
        <v>8165</v>
      </c>
      <c r="D1590" s="26"/>
      <c r="E1590" s="26"/>
    </row>
    <row r="1591" spans="1:5" s="16" customFormat="1" ht="12.95" customHeight="1">
      <c r="A1591" s="26" t="s">
        <v>8166</v>
      </c>
      <c r="B1591" s="26"/>
      <c r="C1591" s="26" t="s">
        <v>8167</v>
      </c>
      <c r="D1591" s="26"/>
      <c r="E1591" s="26"/>
    </row>
    <row r="1592" spans="1:5" s="16" customFormat="1" ht="12.95" customHeight="1">
      <c r="A1592" s="26" t="s">
        <v>8168</v>
      </c>
      <c r="B1592" s="26"/>
      <c r="C1592" s="26" t="s">
        <v>8169</v>
      </c>
      <c r="D1592" s="26"/>
      <c r="E1592" s="26"/>
    </row>
    <row r="1593" spans="1:5" s="16" customFormat="1" ht="12.95" customHeight="1">
      <c r="A1593" s="26" t="s">
        <v>8170</v>
      </c>
      <c r="B1593" s="26"/>
      <c r="C1593" s="26" t="s">
        <v>8171</v>
      </c>
      <c r="D1593" s="26"/>
      <c r="E1593" s="26"/>
    </row>
    <row r="1594" spans="1:5" s="16" customFormat="1" ht="12.95" customHeight="1">
      <c r="A1594" s="26" t="s">
        <v>8172</v>
      </c>
      <c r="B1594" s="26"/>
      <c r="C1594" s="26" t="s">
        <v>8173</v>
      </c>
      <c r="D1594" s="26"/>
      <c r="E1594" s="26"/>
    </row>
    <row r="1595" spans="1:5" s="16" customFormat="1" ht="12.95" customHeight="1">
      <c r="A1595" s="26" t="s">
        <v>8174</v>
      </c>
      <c r="B1595" s="26"/>
      <c r="C1595" s="26" t="s">
        <v>8175</v>
      </c>
      <c r="D1595" s="26"/>
      <c r="E1595" s="26"/>
    </row>
    <row r="1596" spans="1:5" s="16" customFormat="1" ht="12.95" customHeight="1">
      <c r="A1596" s="26" t="s">
        <v>8176</v>
      </c>
      <c r="B1596" s="26"/>
      <c r="C1596" s="26" t="s">
        <v>8177</v>
      </c>
      <c r="D1596" s="26"/>
      <c r="E1596" s="26"/>
    </row>
    <row r="1597" spans="1:5" s="16" customFormat="1" ht="12.95" customHeight="1">
      <c r="A1597" s="26" t="s">
        <v>8178</v>
      </c>
      <c r="B1597" s="26"/>
      <c r="C1597" s="26" t="s">
        <v>8179</v>
      </c>
      <c r="D1597" s="26"/>
      <c r="E1597" s="26"/>
    </row>
    <row r="1598" spans="1:5" s="16" customFormat="1" ht="12.95" customHeight="1">
      <c r="A1598" s="26" t="s">
        <v>8180</v>
      </c>
      <c r="B1598" s="26"/>
      <c r="C1598" s="26" t="s">
        <v>8181</v>
      </c>
      <c r="D1598" s="26"/>
      <c r="E1598" s="26"/>
    </row>
    <row r="1599" spans="1:5" s="16" customFormat="1" ht="12.95" customHeight="1">
      <c r="A1599" s="26" t="s">
        <v>8182</v>
      </c>
      <c r="B1599" s="26"/>
      <c r="C1599" s="26" t="s">
        <v>8183</v>
      </c>
      <c r="D1599" s="26"/>
      <c r="E1599" s="26"/>
    </row>
    <row r="1600" spans="1:5" s="16" customFormat="1" ht="12.95" customHeight="1">
      <c r="A1600" s="26" t="s">
        <v>8184</v>
      </c>
      <c r="B1600" s="26"/>
      <c r="C1600" s="26" t="s">
        <v>8185</v>
      </c>
      <c r="D1600" s="26"/>
      <c r="E1600" s="26"/>
    </row>
    <row r="1601" spans="1:5" s="16" customFormat="1" ht="12.95" customHeight="1">
      <c r="A1601" s="26" t="s">
        <v>8186</v>
      </c>
      <c r="B1601" s="26"/>
      <c r="C1601" s="26" t="s">
        <v>8187</v>
      </c>
      <c r="D1601" s="26"/>
      <c r="E1601" s="26"/>
    </row>
    <row r="1602" spans="1:5" s="16" customFormat="1" ht="12.95" customHeight="1">
      <c r="A1602" s="26" t="s">
        <v>8188</v>
      </c>
      <c r="B1602" s="26"/>
      <c r="C1602" s="26" t="s">
        <v>8189</v>
      </c>
      <c r="D1602" s="26"/>
      <c r="E1602" s="26"/>
    </row>
    <row r="1603" spans="1:5" s="16" customFormat="1" ht="12.95" customHeight="1">
      <c r="A1603" s="26" t="s">
        <v>8190</v>
      </c>
      <c r="B1603" s="26"/>
      <c r="C1603" s="26" t="s">
        <v>8191</v>
      </c>
      <c r="D1603" s="26"/>
      <c r="E1603" s="26"/>
    </row>
    <row r="1604" spans="1:5" s="16" customFormat="1" ht="12.95" customHeight="1">
      <c r="A1604" s="26" t="s">
        <v>8192</v>
      </c>
      <c r="B1604" s="26"/>
      <c r="C1604" s="26" t="s">
        <v>8193</v>
      </c>
      <c r="D1604" s="26"/>
      <c r="E1604" s="26"/>
    </row>
    <row r="1605" spans="1:5" s="16" customFormat="1" ht="12.95" customHeight="1">
      <c r="A1605" s="26" t="s">
        <v>8194</v>
      </c>
      <c r="B1605" s="26"/>
      <c r="C1605" s="26" t="s">
        <v>8195</v>
      </c>
      <c r="D1605" s="26"/>
      <c r="E1605" s="26"/>
    </row>
    <row r="1606" spans="1:5" s="16" customFormat="1" ht="12.95" customHeight="1">
      <c r="A1606" s="26" t="s">
        <v>8196</v>
      </c>
      <c r="B1606" s="26"/>
      <c r="C1606" s="26" t="s">
        <v>8197</v>
      </c>
      <c r="D1606" s="26"/>
      <c r="E1606" s="26"/>
    </row>
    <row r="1607" spans="1:5" s="16" customFormat="1" ht="12.95" customHeight="1">
      <c r="A1607" s="26" t="s">
        <v>8198</v>
      </c>
      <c r="B1607" s="26"/>
      <c r="C1607" s="26" t="s">
        <v>8195</v>
      </c>
      <c r="D1607" s="26"/>
      <c r="E1607" s="26"/>
    </row>
    <row r="1608" spans="1:5" s="16" customFormat="1" ht="12.95" customHeight="1">
      <c r="A1608" s="26" t="s">
        <v>8199</v>
      </c>
      <c r="B1608" s="26"/>
      <c r="C1608" s="26" t="s">
        <v>8200</v>
      </c>
      <c r="D1608" s="26"/>
      <c r="E1608" s="26"/>
    </row>
    <row r="1609" spans="1:5" s="16" customFormat="1" ht="12.95" customHeight="1">
      <c r="A1609" s="26" t="s">
        <v>8201</v>
      </c>
      <c r="B1609" s="26"/>
      <c r="C1609" s="26" t="s">
        <v>8202</v>
      </c>
      <c r="D1609" s="26"/>
      <c r="E1609" s="26"/>
    </row>
    <row r="1610" spans="1:5" s="16" customFormat="1" ht="12.95" customHeight="1">
      <c r="A1610" s="26" t="s">
        <v>8203</v>
      </c>
      <c r="B1610" s="26"/>
      <c r="C1610" s="26" t="s">
        <v>8204</v>
      </c>
      <c r="D1610" s="26"/>
      <c r="E1610" s="26"/>
    </row>
    <row r="1611" spans="1:5" s="16" customFormat="1" ht="12.95" customHeight="1">
      <c r="A1611" s="26" t="s">
        <v>8205</v>
      </c>
      <c r="B1611" s="26"/>
      <c r="C1611" s="26" t="s">
        <v>8206</v>
      </c>
      <c r="D1611" s="26"/>
      <c r="E1611" s="26"/>
    </row>
    <row r="1612" spans="1:5" s="16" customFormat="1" ht="12.95" customHeight="1">
      <c r="A1612" s="26" t="s">
        <v>8207</v>
      </c>
      <c r="B1612" s="26"/>
      <c r="C1612" s="26" t="s">
        <v>8208</v>
      </c>
      <c r="D1612" s="26"/>
      <c r="E1612" s="26"/>
    </row>
    <row r="1613" spans="1:5" s="16" customFormat="1" ht="12.95" customHeight="1">
      <c r="A1613" s="26" t="s">
        <v>8209</v>
      </c>
      <c r="B1613" s="26"/>
      <c r="C1613" s="26" t="s">
        <v>8210</v>
      </c>
      <c r="D1613" s="26"/>
      <c r="E1613" s="26"/>
    </row>
    <row r="1614" spans="1:5" s="16" customFormat="1" ht="12.95" customHeight="1">
      <c r="A1614" s="26" t="s">
        <v>8211</v>
      </c>
      <c r="B1614" s="26"/>
      <c r="C1614" s="26" t="s">
        <v>8212</v>
      </c>
      <c r="D1614" s="26"/>
      <c r="E1614" s="26"/>
    </row>
    <row r="1615" spans="1:5" s="16" customFormat="1" ht="12.95" customHeight="1">
      <c r="A1615" s="26" t="s">
        <v>8213</v>
      </c>
      <c r="B1615" s="26"/>
      <c r="C1615" s="26" t="s">
        <v>8214</v>
      </c>
      <c r="D1615" s="26"/>
      <c r="E1615" s="26"/>
    </row>
    <row r="1616" spans="1:5" s="16" customFormat="1" ht="12.95" customHeight="1">
      <c r="A1616" s="26" t="s">
        <v>8215</v>
      </c>
      <c r="B1616" s="26"/>
      <c r="C1616" s="26" t="s">
        <v>8216</v>
      </c>
      <c r="D1616" s="26"/>
      <c r="E1616" s="26"/>
    </row>
    <row r="1617" spans="1:5" s="16" customFormat="1" ht="12.95" customHeight="1">
      <c r="A1617" s="26" t="s">
        <v>8217</v>
      </c>
      <c r="B1617" s="26"/>
      <c r="C1617" s="26" t="s">
        <v>8218</v>
      </c>
      <c r="D1617" s="26"/>
      <c r="E1617" s="26"/>
    </row>
    <row r="1618" spans="1:5" s="16" customFormat="1" ht="12.95" customHeight="1">
      <c r="A1618" s="26" t="s">
        <v>8219</v>
      </c>
      <c r="B1618" s="26"/>
      <c r="C1618" s="26" t="s">
        <v>8220</v>
      </c>
      <c r="D1618" s="26"/>
      <c r="E1618" s="26"/>
    </row>
    <row r="1619" spans="1:5" s="16" customFormat="1" ht="12.95" customHeight="1">
      <c r="A1619" s="26" t="s">
        <v>8221</v>
      </c>
      <c r="B1619" s="26"/>
      <c r="C1619" s="26" t="s">
        <v>8222</v>
      </c>
      <c r="D1619" s="26"/>
      <c r="E1619" s="26"/>
    </row>
    <row r="1620" spans="1:5" s="16" customFormat="1" ht="12.95" customHeight="1">
      <c r="A1620" s="26" t="s">
        <v>8223</v>
      </c>
      <c r="B1620" s="26"/>
      <c r="C1620" s="26" t="s">
        <v>8224</v>
      </c>
      <c r="D1620" s="26"/>
      <c r="E1620" s="26"/>
    </row>
    <row r="1621" spans="1:5" s="16" customFormat="1" ht="12.95" customHeight="1">
      <c r="A1621" s="26" t="s">
        <v>8225</v>
      </c>
      <c r="B1621" s="26"/>
      <c r="C1621" s="26" t="s">
        <v>8226</v>
      </c>
      <c r="D1621" s="26"/>
      <c r="E1621" s="26"/>
    </row>
    <row r="1622" spans="1:5" s="16" customFormat="1" ht="12.95" customHeight="1">
      <c r="A1622" s="26" t="s">
        <v>8227</v>
      </c>
      <c r="B1622" s="26"/>
      <c r="C1622" s="26" t="s">
        <v>8228</v>
      </c>
      <c r="D1622" s="26"/>
      <c r="E1622" s="26"/>
    </row>
    <row r="1623" spans="1:5" s="16" customFormat="1" ht="12.95" customHeight="1">
      <c r="A1623" s="26" t="s">
        <v>8229</v>
      </c>
      <c r="B1623" s="26"/>
      <c r="C1623" s="26" t="s">
        <v>8230</v>
      </c>
      <c r="D1623" s="26"/>
      <c r="E1623" s="26"/>
    </row>
    <row r="1624" spans="1:5" s="16" customFormat="1" ht="12.95" customHeight="1">
      <c r="A1624" s="26" t="s">
        <v>8231</v>
      </c>
      <c r="B1624" s="26"/>
      <c r="C1624" s="26" t="s">
        <v>8232</v>
      </c>
      <c r="D1624" s="26"/>
      <c r="E1624" s="26"/>
    </row>
    <row r="1625" spans="1:5" s="16" customFormat="1" ht="12.95" customHeight="1">
      <c r="A1625" s="26" t="s">
        <v>8233</v>
      </c>
      <c r="B1625" s="26"/>
      <c r="C1625" s="26" t="s">
        <v>8234</v>
      </c>
      <c r="D1625" s="26"/>
      <c r="E1625" s="26"/>
    </row>
    <row r="1626" spans="1:5" s="16" customFormat="1" ht="12.95" customHeight="1">
      <c r="A1626" s="26" t="s">
        <v>8235</v>
      </c>
      <c r="B1626" s="26"/>
      <c r="C1626" s="26" t="s">
        <v>8236</v>
      </c>
      <c r="D1626" s="26"/>
      <c r="E1626" s="26"/>
    </row>
    <row r="1627" spans="1:5" s="16" customFormat="1" ht="12.95" customHeight="1">
      <c r="A1627" s="26" t="s">
        <v>8237</v>
      </c>
      <c r="B1627" s="26"/>
      <c r="C1627" s="26" t="s">
        <v>8234</v>
      </c>
      <c r="D1627" s="26"/>
      <c r="E1627" s="26"/>
    </row>
    <row r="1628" spans="1:5" s="16" customFormat="1" ht="12.95" customHeight="1">
      <c r="A1628" s="26" t="s">
        <v>8238</v>
      </c>
      <c r="B1628" s="26"/>
      <c r="C1628" s="26" t="s">
        <v>8239</v>
      </c>
      <c r="D1628" s="26"/>
      <c r="E1628" s="26"/>
    </row>
    <row r="1629" spans="1:5" s="16" customFormat="1" ht="12.95" customHeight="1">
      <c r="A1629" s="26" t="s">
        <v>8240</v>
      </c>
      <c r="B1629" s="26"/>
      <c r="C1629" s="26" t="s">
        <v>8241</v>
      </c>
      <c r="D1629" s="26"/>
      <c r="E1629" s="26"/>
    </row>
    <row r="1630" spans="1:5" s="16" customFormat="1" ht="12.95" customHeight="1">
      <c r="A1630" s="26" t="s">
        <v>8242</v>
      </c>
      <c r="B1630" s="26"/>
      <c r="C1630" s="26" t="s">
        <v>8243</v>
      </c>
      <c r="D1630" s="26"/>
      <c r="E1630" s="26"/>
    </row>
    <row r="1631" spans="1:5" s="16" customFormat="1" ht="12.95" customHeight="1">
      <c r="A1631" s="26" t="s">
        <v>8244</v>
      </c>
      <c r="B1631" s="26"/>
      <c r="C1631" s="26" t="s">
        <v>8243</v>
      </c>
      <c r="D1631" s="26"/>
      <c r="E1631" s="26"/>
    </row>
    <row r="1632" spans="1:5" s="16" customFormat="1" ht="12.95" customHeight="1">
      <c r="A1632" s="26" t="s">
        <v>8245</v>
      </c>
      <c r="B1632" s="26"/>
      <c r="C1632" s="26" t="s">
        <v>8246</v>
      </c>
      <c r="D1632" s="26"/>
      <c r="E1632" s="26"/>
    </row>
    <row r="1633" spans="1:5" s="16" customFormat="1" ht="12.95" customHeight="1">
      <c r="A1633" s="26" t="s">
        <v>8247</v>
      </c>
      <c r="B1633" s="26"/>
      <c r="C1633" s="26" t="s">
        <v>8248</v>
      </c>
      <c r="D1633" s="26"/>
      <c r="E1633" s="26"/>
    </row>
    <row r="1634" spans="1:5" s="16" customFormat="1" ht="12.95" customHeight="1">
      <c r="A1634" s="26" t="s">
        <v>8249</v>
      </c>
      <c r="B1634" s="26"/>
      <c r="C1634" s="26" t="s">
        <v>8250</v>
      </c>
      <c r="D1634" s="26"/>
      <c r="E1634" s="26"/>
    </row>
    <row r="1635" spans="1:5" s="16" customFormat="1" ht="12.95" customHeight="1">
      <c r="A1635" s="26" t="s">
        <v>8251</v>
      </c>
      <c r="B1635" s="26"/>
      <c r="C1635" s="26" t="s">
        <v>8252</v>
      </c>
      <c r="D1635" s="26"/>
      <c r="E1635" s="26"/>
    </row>
    <row r="1636" spans="1:5" s="16" customFormat="1" ht="12.95" customHeight="1">
      <c r="A1636" s="26" t="s">
        <v>8253</v>
      </c>
      <c r="B1636" s="26"/>
      <c r="C1636" s="26" t="s">
        <v>8254</v>
      </c>
      <c r="D1636" s="26"/>
      <c r="E1636" s="26"/>
    </row>
    <row r="1637" spans="1:5" s="16" customFormat="1" ht="12.95" customHeight="1">
      <c r="A1637" s="26" t="s">
        <v>8255</v>
      </c>
      <c r="B1637" s="26"/>
      <c r="C1637" s="26" t="s">
        <v>8252</v>
      </c>
      <c r="D1637" s="26"/>
      <c r="E1637" s="26"/>
    </row>
    <row r="1638" spans="1:5" s="16" customFormat="1" ht="12.95" customHeight="1">
      <c r="A1638" s="26" t="s">
        <v>8256</v>
      </c>
      <c r="B1638" s="26"/>
      <c r="C1638" s="26" t="s">
        <v>8254</v>
      </c>
      <c r="D1638" s="26"/>
      <c r="E1638" s="26"/>
    </row>
    <row r="1639" spans="1:5" s="16" customFormat="1" ht="12.95" customHeight="1">
      <c r="A1639" s="26" t="s">
        <v>8257</v>
      </c>
      <c r="B1639" s="26"/>
      <c r="C1639" s="26" t="s">
        <v>8258</v>
      </c>
      <c r="D1639" s="26"/>
      <c r="E1639" s="26"/>
    </row>
    <row r="1640" spans="1:5" s="16" customFormat="1" ht="12.95" customHeight="1">
      <c r="A1640" s="26" t="s">
        <v>8259</v>
      </c>
      <c r="B1640" s="26"/>
      <c r="C1640" s="26" t="s">
        <v>8260</v>
      </c>
      <c r="D1640" s="26"/>
      <c r="E1640" s="26"/>
    </row>
    <row r="1641" spans="1:5" s="16" customFormat="1" ht="12.95" customHeight="1">
      <c r="A1641" s="26" t="s">
        <v>8261</v>
      </c>
      <c r="B1641" s="26"/>
      <c r="C1641" s="26" t="s">
        <v>8262</v>
      </c>
      <c r="D1641" s="26"/>
      <c r="E1641" s="26"/>
    </row>
    <row r="1642" spans="1:5" s="16" customFormat="1" ht="12.95" customHeight="1">
      <c r="A1642" s="26" t="s">
        <v>8263</v>
      </c>
      <c r="B1642" s="26"/>
      <c r="C1642" s="26" t="s">
        <v>8264</v>
      </c>
      <c r="D1642" s="26"/>
      <c r="E1642" s="26"/>
    </row>
    <row r="1643" spans="1:5" s="16" customFormat="1" ht="12.95" customHeight="1">
      <c r="A1643" s="26" t="s">
        <v>8265</v>
      </c>
      <c r="B1643" s="26"/>
      <c r="C1643" s="26" t="s">
        <v>8266</v>
      </c>
      <c r="D1643" s="26"/>
      <c r="E1643" s="26"/>
    </row>
    <row r="1644" spans="1:5" s="16" customFormat="1" ht="12.95" customHeight="1">
      <c r="A1644" s="26" t="s">
        <v>8267</v>
      </c>
      <c r="B1644" s="26"/>
      <c r="C1644" s="26" t="s">
        <v>8268</v>
      </c>
      <c r="D1644" s="26"/>
      <c r="E1644" s="26"/>
    </row>
    <row r="1645" spans="1:5" s="16" customFormat="1" ht="12.95" customHeight="1">
      <c r="A1645" s="26" t="s">
        <v>8269</v>
      </c>
      <c r="B1645" s="26"/>
      <c r="C1645" s="26" t="s">
        <v>8270</v>
      </c>
      <c r="D1645" s="26"/>
      <c r="E1645" s="26"/>
    </row>
    <row r="1646" spans="1:5" s="16" customFormat="1" ht="12.95" customHeight="1">
      <c r="A1646" s="26" t="s">
        <v>8271</v>
      </c>
      <c r="B1646" s="26"/>
      <c r="C1646" s="26" t="s">
        <v>8272</v>
      </c>
      <c r="D1646" s="26"/>
      <c r="E1646" s="26"/>
    </row>
    <row r="1647" spans="1:5" s="16" customFormat="1" ht="12.95" customHeight="1">
      <c r="A1647" s="26" t="s">
        <v>8273</v>
      </c>
      <c r="B1647" s="26"/>
      <c r="C1647" s="26" t="s">
        <v>8274</v>
      </c>
      <c r="D1647" s="26"/>
      <c r="E1647" s="26"/>
    </row>
    <row r="1648" spans="1:5" s="16" customFormat="1" ht="12.95" customHeight="1">
      <c r="A1648" s="26" t="s">
        <v>8275</v>
      </c>
      <c r="B1648" s="26"/>
      <c r="C1648" s="26" t="s">
        <v>8276</v>
      </c>
      <c r="D1648" s="26"/>
      <c r="E1648" s="26"/>
    </row>
    <row r="1649" spans="1:5" s="16" customFormat="1" ht="12.95" customHeight="1">
      <c r="A1649" s="26" t="s">
        <v>8277</v>
      </c>
      <c r="B1649" s="26"/>
      <c r="C1649" s="26" t="s">
        <v>8278</v>
      </c>
      <c r="D1649" s="26"/>
      <c r="E1649" s="26"/>
    </row>
    <row r="1650" spans="1:5" s="16" customFormat="1" ht="12.95" customHeight="1">
      <c r="A1650" s="26" t="s">
        <v>5254</v>
      </c>
      <c r="B1650" s="26"/>
      <c r="C1650" s="26" t="s">
        <v>8279</v>
      </c>
      <c r="D1650" s="26"/>
      <c r="E1650" s="26"/>
    </row>
    <row r="1651" spans="1:5" s="16" customFormat="1" ht="12.95" customHeight="1">
      <c r="A1651" s="26" t="s">
        <v>8280</v>
      </c>
      <c r="B1651" s="26"/>
      <c r="C1651" s="26" t="s">
        <v>8281</v>
      </c>
      <c r="D1651" s="26"/>
      <c r="E1651" s="26"/>
    </row>
    <row r="1652" spans="1:5" s="16" customFormat="1" ht="12.95" customHeight="1">
      <c r="A1652" s="26" t="s">
        <v>8282</v>
      </c>
      <c r="B1652" s="26"/>
      <c r="C1652" s="26" t="s">
        <v>8283</v>
      </c>
      <c r="D1652" s="26"/>
      <c r="E1652" s="26"/>
    </row>
    <row r="1653" spans="1:5" s="16" customFormat="1" ht="12.95" customHeight="1">
      <c r="A1653" s="26" t="s">
        <v>8284</v>
      </c>
      <c r="B1653" s="26"/>
      <c r="C1653" s="26" t="s">
        <v>8285</v>
      </c>
      <c r="D1653" s="26"/>
      <c r="E1653" s="26"/>
    </row>
    <row r="1654" spans="1:5" s="16" customFormat="1" ht="12.95" customHeight="1">
      <c r="A1654" s="26" t="s">
        <v>8286</v>
      </c>
      <c r="B1654" s="26"/>
      <c r="C1654" s="26" t="s">
        <v>8287</v>
      </c>
      <c r="D1654" s="26"/>
      <c r="E1654" s="26"/>
    </row>
    <row r="1655" spans="1:5" s="16" customFormat="1" ht="12.95" customHeight="1">
      <c r="A1655" s="26" t="s">
        <v>8288</v>
      </c>
      <c r="B1655" s="26"/>
      <c r="C1655" s="26" t="s">
        <v>8278</v>
      </c>
      <c r="D1655" s="26"/>
      <c r="E1655" s="26"/>
    </row>
    <row r="1656" spans="1:5" s="16" customFormat="1" ht="12.95" customHeight="1">
      <c r="A1656" s="26" t="s">
        <v>7457</v>
      </c>
      <c r="B1656" s="26"/>
      <c r="C1656" s="26" t="s">
        <v>8279</v>
      </c>
      <c r="D1656" s="26"/>
      <c r="E1656" s="26"/>
    </row>
    <row r="1657" spans="1:5" s="16" customFormat="1" ht="12.95" customHeight="1">
      <c r="A1657" s="26" t="s">
        <v>8289</v>
      </c>
      <c r="B1657" s="26"/>
      <c r="C1657" s="26" t="s">
        <v>8281</v>
      </c>
      <c r="D1657" s="26"/>
      <c r="E1657" s="26"/>
    </row>
    <row r="1658" spans="1:5" s="16" customFormat="1" ht="12.95" customHeight="1">
      <c r="A1658" s="26" t="s">
        <v>8290</v>
      </c>
      <c r="B1658" s="26"/>
      <c r="C1658" s="26" t="s">
        <v>8283</v>
      </c>
      <c r="D1658" s="26"/>
      <c r="E1658" s="26"/>
    </row>
    <row r="1659" spans="1:5" s="16" customFormat="1" ht="12.95" customHeight="1">
      <c r="A1659" s="26" t="s">
        <v>7057</v>
      </c>
      <c r="B1659" s="26"/>
      <c r="C1659" s="26" t="s">
        <v>8285</v>
      </c>
      <c r="D1659" s="26"/>
      <c r="E1659" s="26"/>
    </row>
    <row r="1660" spans="1:5" s="16" customFormat="1" ht="12.95" customHeight="1">
      <c r="A1660" s="26" t="s">
        <v>8291</v>
      </c>
      <c r="B1660" s="26"/>
      <c r="C1660" s="26" t="s">
        <v>8287</v>
      </c>
      <c r="D1660" s="26"/>
      <c r="E1660" s="26"/>
    </row>
    <row r="1661" spans="1:5" s="16" customFormat="1" ht="12.95" customHeight="1">
      <c r="A1661" s="26" t="s">
        <v>8292</v>
      </c>
      <c r="B1661" s="26"/>
      <c r="C1661" s="26" t="s">
        <v>8278</v>
      </c>
      <c r="D1661" s="26"/>
      <c r="E1661" s="26"/>
    </row>
    <row r="1662" spans="1:5" s="16" customFormat="1" ht="12.95" customHeight="1">
      <c r="A1662" s="26" t="s">
        <v>3536</v>
      </c>
      <c r="B1662" s="26"/>
      <c r="C1662" s="26" t="s">
        <v>8293</v>
      </c>
      <c r="D1662" s="26"/>
      <c r="E1662" s="26"/>
    </row>
    <row r="1663" spans="1:5" s="16" customFormat="1" ht="12.95" customHeight="1">
      <c r="A1663" s="26" t="s">
        <v>8294</v>
      </c>
      <c r="B1663" s="26"/>
      <c r="C1663" s="26" t="s">
        <v>8295</v>
      </c>
      <c r="D1663" s="26"/>
      <c r="E1663" s="26"/>
    </row>
    <row r="1664" spans="1:5" s="16" customFormat="1" ht="12.95" customHeight="1">
      <c r="A1664" s="26" t="s">
        <v>6617</v>
      </c>
      <c r="B1664" s="26"/>
      <c r="C1664" s="26" t="s">
        <v>8296</v>
      </c>
      <c r="D1664" s="26"/>
      <c r="E1664" s="26"/>
    </row>
    <row r="1665" spans="1:5" s="16" customFormat="1" ht="12.95" customHeight="1">
      <c r="A1665" s="26" t="s">
        <v>8297</v>
      </c>
      <c r="B1665" s="26"/>
      <c r="C1665" s="26" t="s">
        <v>8298</v>
      </c>
      <c r="D1665" s="26"/>
      <c r="E1665" s="26"/>
    </row>
    <row r="1666" spans="1:5" s="16" customFormat="1" ht="12.95" customHeight="1">
      <c r="A1666" s="26" t="s">
        <v>8299</v>
      </c>
      <c r="B1666" s="26"/>
      <c r="C1666" s="26" t="s">
        <v>8279</v>
      </c>
      <c r="D1666" s="26"/>
      <c r="E1666" s="26"/>
    </row>
    <row r="1667" spans="1:5" s="16" customFormat="1" ht="12.95" customHeight="1">
      <c r="A1667" s="26" t="s">
        <v>8300</v>
      </c>
      <c r="B1667" s="26"/>
      <c r="C1667" s="26" t="s">
        <v>8296</v>
      </c>
      <c r="D1667" s="26"/>
      <c r="E1667" s="26"/>
    </row>
    <row r="1668" spans="1:5" s="16" customFormat="1" ht="12.95" customHeight="1">
      <c r="A1668" s="26" t="s">
        <v>8301</v>
      </c>
      <c r="B1668" s="26"/>
      <c r="C1668" s="26" t="s">
        <v>8302</v>
      </c>
      <c r="D1668" s="26"/>
      <c r="E1668" s="26"/>
    </row>
    <row r="1669" spans="1:5" s="16" customFormat="1" ht="12.95" customHeight="1">
      <c r="A1669" s="26" t="s">
        <v>8303</v>
      </c>
      <c r="B1669" s="26"/>
      <c r="C1669" s="26" t="s">
        <v>8304</v>
      </c>
      <c r="D1669" s="26"/>
      <c r="E1669" s="26"/>
    </row>
    <row r="1670" spans="1:5" s="16" customFormat="1" ht="12.95" customHeight="1">
      <c r="A1670" s="26" t="s">
        <v>8305</v>
      </c>
      <c r="B1670" s="26"/>
      <c r="C1670" s="26" t="s">
        <v>8306</v>
      </c>
      <c r="D1670" s="26"/>
      <c r="E1670" s="26"/>
    </row>
    <row r="1671" spans="1:5" s="16" customFormat="1" ht="12.95" customHeight="1">
      <c r="A1671" s="26" t="s">
        <v>8307</v>
      </c>
      <c r="B1671" s="26"/>
      <c r="C1671" s="26" t="s">
        <v>8308</v>
      </c>
      <c r="D1671" s="26"/>
      <c r="E1671" s="26"/>
    </row>
    <row r="1672" spans="1:5" s="16" customFormat="1" ht="12.95" customHeight="1">
      <c r="A1672" s="26" t="s">
        <v>8309</v>
      </c>
      <c r="B1672" s="26"/>
      <c r="C1672" s="26" t="s">
        <v>8304</v>
      </c>
      <c r="D1672" s="26"/>
      <c r="E1672" s="26"/>
    </row>
    <row r="1673" spans="1:5" s="16" customFormat="1" ht="12.95" customHeight="1">
      <c r="A1673" s="26" t="s">
        <v>8310</v>
      </c>
      <c r="B1673" s="26"/>
      <c r="C1673" s="26" t="s">
        <v>8308</v>
      </c>
      <c r="D1673" s="26"/>
      <c r="E1673" s="26"/>
    </row>
    <row r="1674" spans="1:5" s="16" customFormat="1" ht="12.95" customHeight="1">
      <c r="A1674" s="26" t="s">
        <v>8311</v>
      </c>
      <c r="B1674" s="26"/>
      <c r="C1674" s="26" t="s">
        <v>8304</v>
      </c>
      <c r="D1674" s="26"/>
      <c r="E1674" s="26"/>
    </row>
    <row r="1675" spans="1:5" s="16" customFormat="1" ht="12.95" customHeight="1">
      <c r="A1675" s="26" t="s">
        <v>8312</v>
      </c>
      <c r="B1675" s="26"/>
      <c r="C1675" s="26" t="s">
        <v>8313</v>
      </c>
      <c r="D1675" s="26"/>
      <c r="E1675" s="26"/>
    </row>
    <row r="1676" spans="1:5" s="16" customFormat="1" ht="12.95" customHeight="1">
      <c r="A1676" s="26" t="s">
        <v>8314</v>
      </c>
      <c r="B1676" s="26"/>
      <c r="C1676" s="26" t="s">
        <v>8315</v>
      </c>
      <c r="D1676" s="26"/>
      <c r="E1676" s="26"/>
    </row>
    <row r="1677" spans="1:5" s="16" customFormat="1" ht="12.95" customHeight="1">
      <c r="A1677" s="26" t="s">
        <v>8314</v>
      </c>
      <c r="B1677" s="26"/>
      <c r="C1677" s="26" t="s">
        <v>8315</v>
      </c>
      <c r="D1677" s="26"/>
      <c r="E1677" s="26"/>
    </row>
    <row r="1678" spans="1:5" s="16" customFormat="1" ht="12.95" customHeight="1">
      <c r="A1678" s="26" t="s">
        <v>3046</v>
      </c>
      <c r="B1678" s="26"/>
      <c r="C1678" s="26" t="s">
        <v>8316</v>
      </c>
      <c r="D1678" s="26"/>
      <c r="E1678" s="26"/>
    </row>
    <row r="1679" spans="1:5" s="16" customFormat="1" ht="12.95" customHeight="1">
      <c r="A1679" s="26" t="s">
        <v>135</v>
      </c>
      <c r="B1679" s="26"/>
      <c r="C1679" s="26" t="s">
        <v>8317</v>
      </c>
      <c r="D1679" s="26"/>
      <c r="E1679" s="26"/>
    </row>
    <row r="1680" spans="1:5" s="16" customFormat="1" ht="12.95" customHeight="1">
      <c r="A1680" s="26" t="s">
        <v>113</v>
      </c>
      <c r="B1680" s="26"/>
      <c r="C1680" s="26" t="s">
        <v>8317</v>
      </c>
      <c r="D1680" s="26"/>
      <c r="E1680" s="26"/>
    </row>
    <row r="1681" spans="1:5" s="16" customFormat="1" ht="12.95" customHeight="1">
      <c r="A1681" s="26" t="s">
        <v>350</v>
      </c>
      <c r="B1681" s="26"/>
      <c r="C1681" s="26" t="s">
        <v>8317</v>
      </c>
      <c r="D1681" s="26"/>
      <c r="E1681" s="26"/>
    </row>
    <row r="1682" spans="1:5" s="16" customFormat="1" ht="12.95" customHeight="1">
      <c r="A1682" s="26" t="s">
        <v>5941</v>
      </c>
      <c r="B1682" s="26"/>
      <c r="C1682" s="26" t="s">
        <v>8318</v>
      </c>
      <c r="D1682" s="26"/>
      <c r="E1682" s="26"/>
    </row>
    <row r="1683" spans="1:5" s="16" customFormat="1" ht="12.95" customHeight="1">
      <c r="A1683" s="26" t="s">
        <v>1635</v>
      </c>
      <c r="B1683" s="26"/>
      <c r="C1683" s="26" t="s">
        <v>8316</v>
      </c>
      <c r="D1683" s="26"/>
      <c r="E1683" s="26"/>
    </row>
    <row r="1684" spans="1:5" s="16" customFormat="1" ht="12.95" customHeight="1">
      <c r="A1684" s="26" t="s">
        <v>3735</v>
      </c>
      <c r="B1684" s="26"/>
      <c r="C1684" s="26" t="s">
        <v>8319</v>
      </c>
      <c r="D1684" s="26"/>
      <c r="E1684" s="26"/>
    </row>
    <row r="1685" spans="1:5" s="16" customFormat="1" ht="12.95" customHeight="1">
      <c r="A1685" s="26" t="s">
        <v>8320</v>
      </c>
      <c r="B1685" s="26"/>
      <c r="C1685" s="26" t="s">
        <v>8321</v>
      </c>
      <c r="D1685" s="26"/>
      <c r="E1685" s="26"/>
    </row>
    <row r="1686" spans="1:5" s="16" customFormat="1" ht="12.95" customHeight="1">
      <c r="A1686" s="26" t="s">
        <v>2125</v>
      </c>
      <c r="B1686" s="26"/>
      <c r="C1686" s="26" t="s">
        <v>8317</v>
      </c>
      <c r="D1686" s="26"/>
      <c r="E1686" s="26"/>
    </row>
    <row r="1687" spans="1:5" s="16" customFormat="1" ht="12.95" customHeight="1">
      <c r="A1687" s="26" t="s">
        <v>8322</v>
      </c>
      <c r="B1687" s="26"/>
      <c r="C1687" s="26" t="s">
        <v>8323</v>
      </c>
      <c r="D1687" s="26"/>
      <c r="E1687" s="26"/>
    </row>
    <row r="1688" spans="1:5" s="16" customFormat="1" ht="12.95" customHeight="1">
      <c r="A1688" s="26" t="s">
        <v>8324</v>
      </c>
      <c r="B1688" s="26"/>
      <c r="C1688" s="26" t="s">
        <v>8325</v>
      </c>
      <c r="D1688" s="26"/>
      <c r="E1688" s="26"/>
    </row>
    <row r="1689" spans="1:5" s="16" customFormat="1" ht="12.95" customHeight="1">
      <c r="A1689" s="26" t="s">
        <v>8326</v>
      </c>
      <c r="B1689" s="26"/>
      <c r="C1689" s="26" t="s">
        <v>8327</v>
      </c>
      <c r="D1689" s="26"/>
      <c r="E1689" s="26"/>
    </row>
    <row r="1690" spans="1:5" s="16" customFormat="1" ht="12.95" customHeight="1">
      <c r="A1690" s="26" t="s">
        <v>8328</v>
      </c>
      <c r="B1690" s="26"/>
      <c r="C1690" s="26" t="s">
        <v>8329</v>
      </c>
      <c r="D1690" s="26"/>
      <c r="E1690" s="26"/>
    </row>
    <row r="1691" spans="1:5" s="16" customFormat="1" ht="12.95" customHeight="1">
      <c r="A1691" s="26" t="s">
        <v>8330</v>
      </c>
      <c r="B1691" s="26"/>
      <c r="C1691" s="26" t="s">
        <v>8331</v>
      </c>
      <c r="D1691" s="26"/>
      <c r="E1691" s="26"/>
    </row>
    <row r="1692" spans="1:5" s="16" customFormat="1" ht="12.95" customHeight="1">
      <c r="A1692" s="26" t="s">
        <v>8332</v>
      </c>
      <c r="B1692" s="26"/>
      <c r="C1692" s="26" t="s">
        <v>8333</v>
      </c>
      <c r="D1692" s="26"/>
      <c r="E1692" s="26"/>
    </row>
    <row r="1693" spans="1:5" s="16" customFormat="1" ht="12.95" customHeight="1">
      <c r="A1693" s="26" t="s">
        <v>8334</v>
      </c>
      <c r="B1693" s="26"/>
      <c r="C1693" s="26" t="s">
        <v>8325</v>
      </c>
      <c r="D1693" s="26"/>
      <c r="E1693" s="26"/>
    </row>
    <row r="1694" spans="1:5" s="16" customFormat="1" ht="12.95" customHeight="1">
      <c r="A1694" s="26" t="s">
        <v>8335</v>
      </c>
      <c r="B1694" s="26"/>
      <c r="C1694" s="26" t="s">
        <v>8327</v>
      </c>
      <c r="D1694" s="26"/>
      <c r="E1694" s="26"/>
    </row>
    <row r="1695" spans="1:5" s="16" customFormat="1" ht="12.95" customHeight="1">
      <c r="A1695" s="26" t="s">
        <v>8336</v>
      </c>
      <c r="B1695" s="26"/>
      <c r="C1695" s="26" t="s">
        <v>8337</v>
      </c>
      <c r="D1695" s="26"/>
      <c r="E1695" s="26"/>
    </row>
    <row r="1696" spans="1:5" s="16" customFormat="1" ht="12.95" customHeight="1">
      <c r="A1696" s="26" t="s">
        <v>8338</v>
      </c>
      <c r="B1696" s="26"/>
      <c r="C1696" s="26" t="s">
        <v>8329</v>
      </c>
      <c r="D1696" s="26"/>
      <c r="E1696" s="26"/>
    </row>
    <row r="1697" spans="1:5" s="16" customFormat="1" ht="12.95" customHeight="1">
      <c r="A1697" s="26" t="s">
        <v>8339</v>
      </c>
      <c r="B1697" s="26"/>
      <c r="C1697" s="26" t="s">
        <v>8331</v>
      </c>
      <c r="D1697" s="26"/>
      <c r="E1697" s="26"/>
    </row>
    <row r="1698" spans="1:5" s="16" customFormat="1" ht="12.95" customHeight="1">
      <c r="A1698" s="26" t="s">
        <v>8340</v>
      </c>
      <c r="B1698" s="26"/>
      <c r="C1698" s="26" t="s">
        <v>8341</v>
      </c>
      <c r="D1698" s="26"/>
      <c r="E1698" s="26"/>
    </row>
    <row r="1699" spans="1:5" s="16" customFormat="1" ht="12.95" customHeight="1">
      <c r="A1699" s="26" t="s">
        <v>8342</v>
      </c>
      <c r="B1699" s="26"/>
      <c r="C1699" s="26" t="s">
        <v>8343</v>
      </c>
      <c r="D1699" s="26"/>
      <c r="E1699" s="26"/>
    </row>
    <row r="1700" spans="1:5" s="16" customFormat="1" ht="12.95" customHeight="1">
      <c r="A1700" s="26" t="s">
        <v>8344</v>
      </c>
      <c r="B1700" s="26"/>
      <c r="C1700" s="26" t="s">
        <v>8345</v>
      </c>
      <c r="D1700" s="26"/>
      <c r="E1700" s="26"/>
    </row>
    <row r="1701" spans="1:5" s="16" customFormat="1" ht="12.95" customHeight="1">
      <c r="A1701" s="26" t="s">
        <v>8346</v>
      </c>
      <c r="B1701" s="26"/>
      <c r="C1701" s="26" t="s">
        <v>8347</v>
      </c>
      <c r="D1701" s="26"/>
      <c r="E1701" s="26"/>
    </row>
    <row r="1702" spans="1:5" s="16" customFormat="1" ht="12.95" customHeight="1">
      <c r="A1702" s="26" t="s">
        <v>8348</v>
      </c>
      <c r="B1702" s="26"/>
      <c r="C1702" s="26" t="s">
        <v>8349</v>
      </c>
      <c r="D1702" s="26"/>
      <c r="E1702" s="26"/>
    </row>
    <row r="1703" spans="1:5" s="16" customFormat="1" ht="12.95" customHeight="1">
      <c r="A1703" s="26" t="s">
        <v>8350</v>
      </c>
      <c r="B1703" s="26"/>
      <c r="C1703" s="26" t="s">
        <v>8351</v>
      </c>
      <c r="D1703" s="26"/>
      <c r="E1703" s="26"/>
    </row>
    <row r="1704" spans="1:5" s="16" customFormat="1" ht="12.95" customHeight="1">
      <c r="A1704" s="26" t="s">
        <v>8352</v>
      </c>
      <c r="B1704" s="26"/>
      <c r="C1704" s="26" t="s">
        <v>8353</v>
      </c>
      <c r="D1704" s="26"/>
      <c r="E1704" s="26"/>
    </row>
    <row r="1705" spans="1:5" s="16" customFormat="1" ht="12.95" customHeight="1">
      <c r="A1705" s="26" t="s">
        <v>8354</v>
      </c>
      <c r="B1705" s="26"/>
      <c r="C1705" s="26" t="s">
        <v>8351</v>
      </c>
      <c r="D1705" s="26"/>
      <c r="E1705" s="26"/>
    </row>
    <row r="1706" spans="1:5" s="16" customFormat="1" ht="12.95" customHeight="1">
      <c r="A1706" s="26" t="s">
        <v>8355</v>
      </c>
      <c r="B1706" s="26"/>
      <c r="C1706" s="26" t="s">
        <v>8356</v>
      </c>
      <c r="D1706" s="26"/>
      <c r="E1706" s="26"/>
    </row>
    <row r="1707" spans="1:5" s="16" customFormat="1" ht="12.95" customHeight="1">
      <c r="A1707" s="26" t="s">
        <v>8357</v>
      </c>
      <c r="B1707" s="26"/>
      <c r="C1707" s="26" t="s">
        <v>8353</v>
      </c>
      <c r="D1707" s="26"/>
      <c r="E1707" s="26"/>
    </row>
    <row r="1708" spans="1:5" s="16" customFormat="1" ht="12.95" customHeight="1">
      <c r="A1708" s="26" t="s">
        <v>8358</v>
      </c>
      <c r="B1708" s="26"/>
      <c r="C1708" s="26" t="s">
        <v>8359</v>
      </c>
      <c r="D1708" s="26"/>
      <c r="E1708" s="26"/>
    </row>
    <row r="1709" spans="1:5" s="16" customFormat="1" ht="12.95" customHeight="1">
      <c r="A1709" s="26" t="s">
        <v>8360</v>
      </c>
      <c r="B1709" s="26"/>
      <c r="C1709" s="26" t="s">
        <v>8361</v>
      </c>
      <c r="D1709" s="26"/>
      <c r="E1709" s="26"/>
    </row>
    <row r="1710" spans="1:5" s="16" customFormat="1" ht="12.95" customHeight="1">
      <c r="A1710" s="26" t="s">
        <v>4395</v>
      </c>
      <c r="B1710" s="26"/>
      <c r="C1710" s="26" t="s">
        <v>8108</v>
      </c>
      <c r="D1710" s="26"/>
      <c r="E1710" s="26"/>
    </row>
    <row r="1711" spans="1:5" s="16" customFormat="1" ht="12.95" customHeight="1">
      <c r="A1711" s="26" t="s">
        <v>8362</v>
      </c>
      <c r="B1711" s="26"/>
      <c r="C1711" s="26" t="s">
        <v>8363</v>
      </c>
      <c r="D1711" s="26"/>
      <c r="E1711" s="26"/>
    </row>
    <row r="1712" spans="1:5" s="16" customFormat="1" ht="12.95" customHeight="1">
      <c r="A1712" s="26" t="s">
        <v>8364</v>
      </c>
      <c r="B1712" s="26"/>
      <c r="C1712" s="26" t="s">
        <v>8365</v>
      </c>
      <c r="D1712" s="26"/>
      <c r="E1712" s="26"/>
    </row>
    <row r="1713" spans="1:5" s="16" customFormat="1" ht="12.95" customHeight="1">
      <c r="A1713" s="26" t="s">
        <v>8366</v>
      </c>
      <c r="B1713" s="26"/>
      <c r="C1713" s="26" t="s">
        <v>8367</v>
      </c>
      <c r="D1713" s="26"/>
      <c r="E1713" s="26"/>
    </row>
    <row r="1714" spans="1:5" s="16" customFormat="1" ht="12.95" customHeight="1">
      <c r="A1714" s="26" t="s">
        <v>8368</v>
      </c>
      <c r="B1714" s="26"/>
      <c r="C1714" s="26" t="s">
        <v>8369</v>
      </c>
      <c r="D1714" s="26"/>
      <c r="E1714" s="26"/>
    </row>
    <row r="1715" spans="1:5" s="16" customFormat="1" ht="12.95" customHeight="1">
      <c r="A1715" s="26" t="s">
        <v>8370</v>
      </c>
      <c r="B1715" s="26"/>
      <c r="C1715" s="26" t="s">
        <v>8371</v>
      </c>
      <c r="D1715" s="26"/>
      <c r="E1715" s="26"/>
    </row>
    <row r="1716" spans="1:5" s="16" customFormat="1" ht="12.95" customHeight="1">
      <c r="A1716" s="26" t="s">
        <v>8372</v>
      </c>
      <c r="B1716" s="26"/>
      <c r="C1716" s="26" t="s">
        <v>8373</v>
      </c>
      <c r="D1716" s="26"/>
      <c r="E1716" s="26"/>
    </row>
    <row r="1717" spans="1:5" s="16" customFormat="1" ht="12.95" customHeight="1">
      <c r="A1717" s="26" t="s">
        <v>8374</v>
      </c>
      <c r="B1717" s="26"/>
      <c r="C1717" s="26" t="s">
        <v>8375</v>
      </c>
      <c r="D1717" s="26"/>
      <c r="E1717" s="26"/>
    </row>
    <row r="1718" spans="1:5" s="16" customFormat="1" ht="12.95" customHeight="1">
      <c r="A1718" s="26" t="s">
        <v>8376</v>
      </c>
      <c r="B1718" s="26"/>
      <c r="C1718" s="26" t="s">
        <v>8377</v>
      </c>
      <c r="D1718" s="26"/>
      <c r="E1718" s="26"/>
    </row>
    <row r="1719" spans="1:5" s="16" customFormat="1" ht="12.95" customHeight="1">
      <c r="A1719" s="26" t="s">
        <v>8378</v>
      </c>
      <c r="B1719" s="26"/>
      <c r="C1719" s="26" t="s">
        <v>8379</v>
      </c>
      <c r="D1719" s="26"/>
      <c r="E1719" s="26"/>
    </row>
    <row r="1720" spans="1:5" s="16" customFormat="1" ht="12.95" customHeight="1">
      <c r="A1720" s="26" t="s">
        <v>8380</v>
      </c>
      <c r="B1720" s="26"/>
      <c r="C1720" s="26" t="s">
        <v>8373</v>
      </c>
      <c r="D1720" s="26"/>
      <c r="E1720" s="26"/>
    </row>
    <row r="1721" spans="1:5" s="16" customFormat="1" ht="12.95" customHeight="1">
      <c r="A1721" s="26" t="s">
        <v>8381</v>
      </c>
      <c r="B1721" s="26"/>
      <c r="C1721" s="26" t="s">
        <v>8382</v>
      </c>
      <c r="D1721" s="26"/>
      <c r="E1721" s="26"/>
    </row>
    <row r="1722" spans="1:5" s="16" customFormat="1" ht="12.95" customHeight="1">
      <c r="A1722" s="26" t="s">
        <v>8383</v>
      </c>
      <c r="B1722" s="26"/>
      <c r="C1722" s="26" t="s">
        <v>8375</v>
      </c>
      <c r="D1722" s="26"/>
      <c r="E1722" s="26"/>
    </row>
    <row r="1723" spans="1:5" s="16" customFormat="1" ht="12.95" customHeight="1">
      <c r="A1723" s="26" t="s">
        <v>8384</v>
      </c>
      <c r="B1723" s="26"/>
      <c r="C1723" s="26" t="s">
        <v>8377</v>
      </c>
      <c r="D1723" s="26"/>
      <c r="E1723" s="26"/>
    </row>
    <row r="1724" spans="1:5" s="16" customFormat="1" ht="12.95" customHeight="1">
      <c r="A1724" s="26" t="s">
        <v>8385</v>
      </c>
      <c r="B1724" s="26"/>
      <c r="C1724" s="26" t="s">
        <v>8379</v>
      </c>
      <c r="D1724" s="26"/>
      <c r="E1724" s="26"/>
    </row>
    <row r="1725" spans="1:5" s="16" customFormat="1" ht="12.95" customHeight="1">
      <c r="A1725" s="26" t="s">
        <v>8386</v>
      </c>
      <c r="B1725" s="26"/>
      <c r="C1725" s="26" t="s">
        <v>8373</v>
      </c>
      <c r="D1725" s="26"/>
      <c r="E1725" s="26"/>
    </row>
    <row r="1726" spans="1:5" s="16" customFormat="1" ht="12.95" customHeight="1">
      <c r="A1726" s="26" t="s">
        <v>8387</v>
      </c>
      <c r="B1726" s="26"/>
      <c r="C1726" s="26" t="s">
        <v>8388</v>
      </c>
      <c r="D1726" s="26"/>
      <c r="E1726" s="26"/>
    </row>
    <row r="1727" spans="1:5" s="16" customFormat="1" ht="12.95" customHeight="1">
      <c r="A1727" s="26" t="s">
        <v>7484</v>
      </c>
      <c r="B1727" s="26"/>
      <c r="C1727" s="26" t="s">
        <v>8389</v>
      </c>
      <c r="D1727" s="26"/>
      <c r="E1727" s="26"/>
    </row>
    <row r="1728" spans="1:5" s="16" customFormat="1" ht="12.95" customHeight="1">
      <c r="A1728" s="26" t="s">
        <v>8390</v>
      </c>
      <c r="B1728" s="26"/>
      <c r="C1728" s="26" t="s">
        <v>8391</v>
      </c>
      <c r="D1728" s="26"/>
      <c r="E1728" s="26"/>
    </row>
    <row r="1729" spans="1:5" s="16" customFormat="1" ht="12.95" customHeight="1">
      <c r="A1729" s="26" t="s">
        <v>8392</v>
      </c>
      <c r="B1729" s="26"/>
      <c r="C1729" s="26" t="s">
        <v>8393</v>
      </c>
      <c r="D1729" s="26"/>
      <c r="E1729" s="26"/>
    </row>
    <row r="1730" spans="1:5" s="16" customFormat="1" ht="12.95" customHeight="1">
      <c r="A1730" s="26" t="s">
        <v>8394</v>
      </c>
      <c r="B1730" s="26"/>
      <c r="C1730" s="26" t="s">
        <v>8395</v>
      </c>
      <c r="D1730" s="26"/>
      <c r="E1730" s="26"/>
    </row>
    <row r="1731" spans="1:5" s="16" customFormat="1" ht="12.95" customHeight="1">
      <c r="A1731" s="26" t="s">
        <v>8396</v>
      </c>
      <c r="B1731" s="26"/>
      <c r="C1731" s="26" t="s">
        <v>8397</v>
      </c>
      <c r="D1731" s="26"/>
      <c r="E1731" s="26"/>
    </row>
    <row r="1732" spans="1:5" s="16" customFormat="1" ht="12.95" customHeight="1">
      <c r="A1732" s="26" t="s">
        <v>8398</v>
      </c>
      <c r="B1732" s="26"/>
      <c r="C1732" s="26" t="s">
        <v>8399</v>
      </c>
      <c r="D1732" s="26"/>
      <c r="E1732" s="26"/>
    </row>
    <row r="1733" spans="1:5" s="16" customFormat="1" ht="12.95" customHeight="1">
      <c r="A1733" s="26" t="s">
        <v>8400</v>
      </c>
      <c r="B1733" s="26"/>
      <c r="C1733" s="26" t="s">
        <v>8397</v>
      </c>
      <c r="D1733" s="26"/>
      <c r="E1733" s="26"/>
    </row>
    <row r="1734" spans="1:5" s="16" customFormat="1" ht="12.95" customHeight="1">
      <c r="A1734" s="26" t="s">
        <v>8401</v>
      </c>
      <c r="B1734" s="26"/>
      <c r="C1734" s="26" t="s">
        <v>8399</v>
      </c>
      <c r="D1734" s="26"/>
      <c r="E1734" s="26"/>
    </row>
    <row r="1735" spans="1:5" s="16" customFormat="1" ht="12.95" customHeight="1">
      <c r="A1735" s="26" t="s">
        <v>8402</v>
      </c>
      <c r="B1735" s="26"/>
      <c r="C1735" s="26" t="s">
        <v>8403</v>
      </c>
      <c r="D1735" s="26"/>
      <c r="E1735" s="26"/>
    </row>
    <row r="1736" spans="1:5" s="16" customFormat="1" ht="12.95" customHeight="1">
      <c r="A1736" s="26" t="s">
        <v>8404</v>
      </c>
      <c r="B1736" s="26"/>
      <c r="C1736" s="26" t="s">
        <v>8405</v>
      </c>
      <c r="D1736" s="26"/>
      <c r="E1736" s="26"/>
    </row>
    <row r="1737" spans="1:5" s="16" customFormat="1" ht="12.95" customHeight="1">
      <c r="A1737" s="26" t="s">
        <v>8406</v>
      </c>
      <c r="B1737" s="26"/>
      <c r="C1737" s="26" t="s">
        <v>8405</v>
      </c>
      <c r="D1737" s="26"/>
      <c r="E1737" s="26"/>
    </row>
    <row r="1738" spans="1:5" s="16" customFormat="1" ht="12.95" customHeight="1">
      <c r="A1738" s="26" t="s">
        <v>8407</v>
      </c>
      <c r="B1738" s="26"/>
      <c r="C1738" s="26" t="s">
        <v>8408</v>
      </c>
      <c r="D1738" s="26"/>
      <c r="E1738" s="26"/>
    </row>
    <row r="1739" spans="1:5" s="16" customFormat="1" ht="12.95" customHeight="1">
      <c r="A1739" s="26" t="s">
        <v>8409</v>
      </c>
      <c r="B1739" s="26"/>
      <c r="C1739" s="26" t="s">
        <v>8410</v>
      </c>
      <c r="D1739" s="26"/>
      <c r="E1739" s="26"/>
    </row>
    <row r="1740" spans="1:5" s="16" customFormat="1" ht="12.95" customHeight="1">
      <c r="A1740" s="26" t="s">
        <v>8411</v>
      </c>
      <c r="B1740" s="26"/>
      <c r="C1740" s="26" t="s">
        <v>8410</v>
      </c>
      <c r="D1740" s="26"/>
      <c r="E1740" s="26"/>
    </row>
    <row r="1741" spans="1:5" s="16" customFormat="1" ht="12.95" customHeight="1">
      <c r="A1741" s="26" t="s">
        <v>8412</v>
      </c>
      <c r="B1741" s="26"/>
      <c r="C1741" s="26" t="s">
        <v>8413</v>
      </c>
      <c r="D1741" s="26"/>
      <c r="E1741" s="26"/>
    </row>
    <row r="1742" spans="1:5" s="16" customFormat="1" ht="12.95" customHeight="1">
      <c r="A1742" s="26" t="s">
        <v>8414</v>
      </c>
      <c r="B1742" s="26"/>
      <c r="C1742" s="26" t="s">
        <v>8415</v>
      </c>
      <c r="D1742" s="26"/>
      <c r="E1742" s="26"/>
    </row>
    <row r="1743" spans="1:5" s="16" customFormat="1" ht="12.95" customHeight="1">
      <c r="A1743" s="26" t="s">
        <v>8416</v>
      </c>
      <c r="B1743" s="26"/>
      <c r="C1743" s="26" t="s">
        <v>8417</v>
      </c>
      <c r="D1743" s="26"/>
      <c r="E1743" s="26"/>
    </row>
    <row r="1744" spans="1:5" s="16" customFormat="1" ht="12.95" customHeight="1">
      <c r="A1744" s="26" t="s">
        <v>8418</v>
      </c>
      <c r="B1744" s="26"/>
      <c r="C1744" s="26" t="s">
        <v>8419</v>
      </c>
      <c r="D1744" s="26"/>
      <c r="E1744" s="26"/>
    </row>
    <row r="1745" spans="1:5" s="16" customFormat="1" ht="12.95" customHeight="1">
      <c r="A1745" s="26" t="s">
        <v>8420</v>
      </c>
      <c r="B1745" s="26"/>
      <c r="C1745" s="26" t="s">
        <v>8421</v>
      </c>
      <c r="D1745" s="26"/>
      <c r="E1745" s="26"/>
    </row>
    <row r="1746" spans="1:5" s="16" customFormat="1" ht="12.95" customHeight="1">
      <c r="A1746" s="26" t="s">
        <v>8422</v>
      </c>
      <c r="B1746" s="26"/>
      <c r="C1746" s="26" t="s">
        <v>8423</v>
      </c>
      <c r="D1746" s="26"/>
      <c r="E1746" s="26"/>
    </row>
    <row r="1747" spans="1:5" s="16" customFormat="1" ht="12.95" customHeight="1">
      <c r="A1747" s="26" t="s">
        <v>8424</v>
      </c>
      <c r="B1747" s="26"/>
      <c r="C1747" s="26" t="s">
        <v>8425</v>
      </c>
      <c r="D1747" s="26"/>
      <c r="E1747" s="26"/>
    </row>
    <row r="1748" spans="1:5" s="16" customFormat="1" ht="12.95" customHeight="1">
      <c r="A1748" s="26" t="s">
        <v>8426</v>
      </c>
      <c r="B1748" s="26"/>
      <c r="C1748" s="26" t="s">
        <v>8421</v>
      </c>
      <c r="D1748" s="26"/>
      <c r="E1748" s="26"/>
    </row>
    <row r="1749" spans="1:5" s="16" customFormat="1" ht="12.95" customHeight="1">
      <c r="A1749" s="26" t="s">
        <v>8427</v>
      </c>
      <c r="B1749" s="26"/>
      <c r="C1749" s="26" t="s">
        <v>8423</v>
      </c>
      <c r="D1749" s="26"/>
      <c r="E1749" s="26"/>
    </row>
    <row r="1750" spans="1:5" s="16" customFormat="1" ht="12.95" customHeight="1">
      <c r="A1750" s="26" t="s">
        <v>8428</v>
      </c>
      <c r="B1750" s="26"/>
      <c r="C1750" s="26" t="s">
        <v>8425</v>
      </c>
      <c r="D1750" s="26"/>
      <c r="E1750" s="26"/>
    </row>
    <row r="1751" spans="1:5" s="16" customFormat="1" ht="12.95" customHeight="1">
      <c r="A1751" s="26" t="s">
        <v>8429</v>
      </c>
      <c r="B1751" s="26"/>
      <c r="C1751" s="26" t="s">
        <v>8430</v>
      </c>
      <c r="D1751" s="26"/>
      <c r="E1751" s="26"/>
    </row>
    <row r="1752" spans="1:5" s="16" customFormat="1" ht="12.95" customHeight="1">
      <c r="A1752" s="26" t="s">
        <v>8431</v>
      </c>
      <c r="B1752" s="26"/>
      <c r="C1752" s="26" t="s">
        <v>8432</v>
      </c>
      <c r="D1752" s="26"/>
      <c r="E1752" s="26"/>
    </row>
    <row r="1753" spans="1:5" s="16" customFormat="1" ht="12.95" customHeight="1">
      <c r="A1753" s="26" t="s">
        <v>8433</v>
      </c>
      <c r="B1753" s="26"/>
      <c r="C1753" s="26" t="s">
        <v>8434</v>
      </c>
      <c r="D1753" s="26"/>
      <c r="E1753" s="26"/>
    </row>
    <row r="1754" spans="1:5" s="16" customFormat="1" ht="12.95" customHeight="1">
      <c r="A1754" s="26" t="s">
        <v>8435</v>
      </c>
      <c r="B1754" s="26"/>
      <c r="C1754" s="26" t="s">
        <v>8436</v>
      </c>
      <c r="D1754" s="26"/>
      <c r="E1754" s="26"/>
    </row>
    <row r="1755" spans="1:5" s="16" customFormat="1" ht="12.95" customHeight="1">
      <c r="A1755" s="26" t="s">
        <v>8437</v>
      </c>
      <c r="B1755" s="26"/>
      <c r="C1755" s="26" t="s">
        <v>8438</v>
      </c>
      <c r="D1755" s="26"/>
      <c r="E1755" s="26"/>
    </row>
    <row r="1756" spans="1:5" s="16" customFormat="1" ht="12.95" customHeight="1">
      <c r="A1756" s="26" t="s">
        <v>8439</v>
      </c>
      <c r="B1756" s="26"/>
      <c r="C1756" s="26" t="s">
        <v>8440</v>
      </c>
      <c r="D1756" s="26"/>
      <c r="E1756" s="26"/>
    </row>
    <row r="1757" spans="1:5" s="16" customFormat="1" ht="12.95" customHeight="1">
      <c r="A1757" s="26" t="s">
        <v>8441</v>
      </c>
      <c r="B1757" s="26"/>
      <c r="C1757" s="26" t="s">
        <v>8442</v>
      </c>
      <c r="D1757" s="26"/>
      <c r="E1757" s="26"/>
    </row>
    <row r="1758" spans="1:5" s="16" customFormat="1" ht="12.95" customHeight="1">
      <c r="A1758" s="26" t="s">
        <v>8443</v>
      </c>
      <c r="B1758" s="26"/>
      <c r="C1758" s="26" t="s">
        <v>8444</v>
      </c>
      <c r="D1758" s="26"/>
      <c r="E1758" s="26"/>
    </row>
    <row r="1759" spans="1:5" s="16" customFormat="1" ht="12.95" customHeight="1">
      <c r="A1759" s="26" t="s">
        <v>8445</v>
      </c>
      <c r="B1759" s="26"/>
      <c r="C1759" s="26" t="s">
        <v>8446</v>
      </c>
      <c r="D1759" s="26"/>
      <c r="E1759" s="26"/>
    </row>
    <row r="1760" spans="1:5" s="16" customFormat="1" ht="12.95" customHeight="1">
      <c r="A1760" s="26" t="s">
        <v>8447</v>
      </c>
      <c r="B1760" s="26"/>
      <c r="C1760" s="26" t="s">
        <v>8448</v>
      </c>
      <c r="D1760" s="26"/>
      <c r="E1760" s="26"/>
    </row>
    <row r="1761" spans="1:5" s="16" customFormat="1" ht="12.95" customHeight="1">
      <c r="A1761" s="26" t="s">
        <v>8449</v>
      </c>
      <c r="B1761" s="26"/>
      <c r="C1761" s="26" t="s">
        <v>8450</v>
      </c>
      <c r="D1761" s="26"/>
      <c r="E1761" s="26"/>
    </row>
    <row r="1762" spans="1:5" s="16" customFormat="1" ht="12.95" customHeight="1">
      <c r="A1762" s="26" t="s">
        <v>8451</v>
      </c>
      <c r="B1762" s="26"/>
      <c r="C1762" s="26" t="s">
        <v>8452</v>
      </c>
      <c r="D1762" s="26"/>
      <c r="E1762" s="26"/>
    </row>
    <row r="1763" spans="1:5" s="16" customFormat="1" ht="12.95" customHeight="1">
      <c r="A1763" s="26" t="s">
        <v>8453</v>
      </c>
      <c r="B1763" s="26"/>
      <c r="C1763" s="26" t="s">
        <v>8454</v>
      </c>
      <c r="D1763" s="26"/>
      <c r="E1763" s="26"/>
    </row>
    <row r="1764" spans="1:5" s="16" customFormat="1" ht="12.95" customHeight="1">
      <c r="A1764" s="26" t="s">
        <v>8455</v>
      </c>
      <c r="B1764" s="26"/>
      <c r="C1764" s="26" t="s">
        <v>8456</v>
      </c>
      <c r="D1764" s="26"/>
      <c r="E1764" s="26"/>
    </row>
    <row r="1765" spans="1:5" s="16" customFormat="1" ht="12.95" customHeight="1">
      <c r="A1765" s="26" t="s">
        <v>8457</v>
      </c>
      <c r="B1765" s="26"/>
      <c r="C1765" s="26" t="s">
        <v>8458</v>
      </c>
      <c r="D1765" s="26"/>
      <c r="E1765" s="26"/>
    </row>
  </sheetData>
  <mergeCells count="551">
    <mergeCell ref="A1765:B1765"/>
    <mergeCell ref="C1765:E1765"/>
    <mergeCell ref="A1760:B1760"/>
    <mergeCell ref="C1760:E1760"/>
    <mergeCell ref="A1761:B1761"/>
    <mergeCell ref="C1761:E1761"/>
    <mergeCell ref="A1762:B1762"/>
    <mergeCell ref="C1762:E1762"/>
    <mergeCell ref="A1763:B1763"/>
    <mergeCell ref="C1763:E1763"/>
    <mergeCell ref="A1764:B1764"/>
    <mergeCell ref="C1764:E1764"/>
    <mergeCell ref="A1755:B1755"/>
    <mergeCell ref="C1755:E1755"/>
    <mergeCell ref="A1756:B1756"/>
    <mergeCell ref="C1756:E1756"/>
    <mergeCell ref="A1757:B1757"/>
    <mergeCell ref="C1757:E1757"/>
    <mergeCell ref="A1758:B1758"/>
    <mergeCell ref="C1758:E1758"/>
    <mergeCell ref="A1759:B1759"/>
    <mergeCell ref="C1759:E1759"/>
    <mergeCell ref="A1750:B1750"/>
    <mergeCell ref="C1750:E1750"/>
    <mergeCell ref="A1751:B1751"/>
    <mergeCell ref="C1751:E1751"/>
    <mergeCell ref="A1752:B1752"/>
    <mergeCell ref="C1752:E1752"/>
    <mergeCell ref="A1753:B1753"/>
    <mergeCell ref="C1753:E1753"/>
    <mergeCell ref="A1754:B1754"/>
    <mergeCell ref="C1754:E1754"/>
    <mergeCell ref="A1745:B1745"/>
    <mergeCell ref="C1745:E1745"/>
    <mergeCell ref="A1746:B1746"/>
    <mergeCell ref="C1746:E1746"/>
    <mergeCell ref="A1747:B1747"/>
    <mergeCell ref="C1747:E1747"/>
    <mergeCell ref="A1748:B1748"/>
    <mergeCell ref="C1748:E1748"/>
    <mergeCell ref="A1749:B1749"/>
    <mergeCell ref="C1749:E1749"/>
    <mergeCell ref="A1740:B1740"/>
    <mergeCell ref="C1740:E1740"/>
    <mergeCell ref="A1741:B1741"/>
    <mergeCell ref="C1741:E1741"/>
    <mergeCell ref="A1742:B1742"/>
    <mergeCell ref="C1742:E1742"/>
    <mergeCell ref="A1743:B1743"/>
    <mergeCell ref="C1743:E1743"/>
    <mergeCell ref="A1744:B1744"/>
    <mergeCell ref="C1744:E1744"/>
    <mergeCell ref="A1735:B1735"/>
    <mergeCell ref="C1735:E1735"/>
    <mergeCell ref="A1736:B1736"/>
    <mergeCell ref="C1736:E1736"/>
    <mergeCell ref="A1737:B1737"/>
    <mergeCell ref="C1737:E1737"/>
    <mergeCell ref="A1738:B1738"/>
    <mergeCell ref="C1738:E1738"/>
    <mergeCell ref="A1739:B1739"/>
    <mergeCell ref="C1739:E1739"/>
    <mergeCell ref="A1730:B1730"/>
    <mergeCell ref="C1730:E1730"/>
    <mergeCell ref="A1731:B1731"/>
    <mergeCell ref="C1731:E1731"/>
    <mergeCell ref="A1732:B1732"/>
    <mergeCell ref="C1732:E1732"/>
    <mergeCell ref="A1733:B1733"/>
    <mergeCell ref="C1733:E1733"/>
    <mergeCell ref="A1734:B1734"/>
    <mergeCell ref="C1734:E1734"/>
    <mergeCell ref="A1725:B1725"/>
    <mergeCell ref="C1725:E1725"/>
    <mergeCell ref="A1726:B1726"/>
    <mergeCell ref="C1726:E1726"/>
    <mergeCell ref="A1727:B1727"/>
    <mergeCell ref="C1727:E1727"/>
    <mergeCell ref="A1728:B1728"/>
    <mergeCell ref="C1728:E1728"/>
    <mergeCell ref="A1729:B1729"/>
    <mergeCell ref="C1729:E1729"/>
    <mergeCell ref="A1720:B1720"/>
    <mergeCell ref="C1720:E1720"/>
    <mergeCell ref="A1721:B1721"/>
    <mergeCell ref="C1721:E1721"/>
    <mergeCell ref="A1722:B1722"/>
    <mergeCell ref="C1722:E1722"/>
    <mergeCell ref="A1723:B1723"/>
    <mergeCell ref="C1723:E1723"/>
    <mergeCell ref="A1724:B1724"/>
    <mergeCell ref="C1724:E1724"/>
    <mergeCell ref="A1715:B1715"/>
    <mergeCell ref="C1715:E1715"/>
    <mergeCell ref="A1716:B1716"/>
    <mergeCell ref="C1716:E1716"/>
    <mergeCell ref="A1717:B1717"/>
    <mergeCell ref="C1717:E1717"/>
    <mergeCell ref="A1718:B1718"/>
    <mergeCell ref="C1718:E1718"/>
    <mergeCell ref="A1719:B1719"/>
    <mergeCell ref="C1719:E1719"/>
    <mergeCell ref="A1710:B1710"/>
    <mergeCell ref="C1710:E1710"/>
    <mergeCell ref="A1711:B1711"/>
    <mergeCell ref="C1711:E1711"/>
    <mergeCell ref="A1712:B1712"/>
    <mergeCell ref="C1712:E1712"/>
    <mergeCell ref="A1713:B1713"/>
    <mergeCell ref="C1713:E1713"/>
    <mergeCell ref="A1714:B1714"/>
    <mergeCell ref="C1714:E1714"/>
    <mergeCell ref="A1705:B1705"/>
    <mergeCell ref="C1705:E1705"/>
    <mergeCell ref="A1706:B1706"/>
    <mergeCell ref="C1706:E1706"/>
    <mergeCell ref="A1707:B1707"/>
    <mergeCell ref="C1707:E1707"/>
    <mergeCell ref="A1708:B1708"/>
    <mergeCell ref="C1708:E1708"/>
    <mergeCell ref="A1709:B1709"/>
    <mergeCell ref="C1709:E1709"/>
    <mergeCell ref="A1700:B1700"/>
    <mergeCell ref="C1700:E1700"/>
    <mergeCell ref="A1701:B1701"/>
    <mergeCell ref="C1701:E1701"/>
    <mergeCell ref="A1702:B1702"/>
    <mergeCell ref="C1702:E1702"/>
    <mergeCell ref="A1703:B1703"/>
    <mergeCell ref="C1703:E1703"/>
    <mergeCell ref="A1704:B1704"/>
    <mergeCell ref="C1704:E1704"/>
    <mergeCell ref="A1695:B1695"/>
    <mergeCell ref="C1695:E1695"/>
    <mergeCell ref="A1696:B1696"/>
    <mergeCell ref="C1696:E1696"/>
    <mergeCell ref="A1697:B1697"/>
    <mergeCell ref="C1697:E1697"/>
    <mergeCell ref="A1698:B1698"/>
    <mergeCell ref="C1698:E1698"/>
    <mergeCell ref="A1699:B1699"/>
    <mergeCell ref="C1699:E1699"/>
    <mergeCell ref="A1690:B1690"/>
    <mergeCell ref="C1690:E1690"/>
    <mergeCell ref="A1691:B1691"/>
    <mergeCell ref="C1691:E1691"/>
    <mergeCell ref="A1692:B1692"/>
    <mergeCell ref="C1692:E1692"/>
    <mergeCell ref="A1693:B1693"/>
    <mergeCell ref="C1693:E1693"/>
    <mergeCell ref="A1694:B1694"/>
    <mergeCell ref="C1694:E1694"/>
    <mergeCell ref="A1685:B1685"/>
    <mergeCell ref="C1685:E1685"/>
    <mergeCell ref="A1686:B1686"/>
    <mergeCell ref="C1686:E1686"/>
    <mergeCell ref="A1687:B1687"/>
    <mergeCell ref="C1687:E1687"/>
    <mergeCell ref="A1688:B1688"/>
    <mergeCell ref="C1688:E1688"/>
    <mergeCell ref="A1689:B1689"/>
    <mergeCell ref="C1689:E1689"/>
    <mergeCell ref="A1680:B1680"/>
    <mergeCell ref="C1680:E1680"/>
    <mergeCell ref="A1681:B1681"/>
    <mergeCell ref="C1681:E1681"/>
    <mergeCell ref="A1682:B1682"/>
    <mergeCell ref="C1682:E1682"/>
    <mergeCell ref="A1683:B1683"/>
    <mergeCell ref="C1683:E1683"/>
    <mergeCell ref="A1684:B1684"/>
    <mergeCell ref="C1684:E1684"/>
    <mergeCell ref="A1675:B1675"/>
    <mergeCell ref="C1675:E1675"/>
    <mergeCell ref="A1676:B1676"/>
    <mergeCell ref="C1676:E1676"/>
    <mergeCell ref="A1677:B1677"/>
    <mergeCell ref="C1677:E1677"/>
    <mergeCell ref="A1678:B1678"/>
    <mergeCell ref="C1678:E1678"/>
    <mergeCell ref="A1679:B1679"/>
    <mergeCell ref="C1679:E1679"/>
    <mergeCell ref="A1670:B1670"/>
    <mergeCell ref="C1670:E1670"/>
    <mergeCell ref="A1671:B1671"/>
    <mergeCell ref="C1671:E1671"/>
    <mergeCell ref="A1672:B1672"/>
    <mergeCell ref="C1672:E1672"/>
    <mergeCell ref="A1673:B1673"/>
    <mergeCell ref="C1673:E1673"/>
    <mergeCell ref="A1674:B1674"/>
    <mergeCell ref="C1674:E1674"/>
    <mergeCell ref="A1665:B1665"/>
    <mergeCell ref="C1665:E1665"/>
    <mergeCell ref="A1666:B1666"/>
    <mergeCell ref="C1666:E1666"/>
    <mergeCell ref="A1667:B1667"/>
    <mergeCell ref="C1667:E1667"/>
    <mergeCell ref="A1668:B1668"/>
    <mergeCell ref="C1668:E1668"/>
    <mergeCell ref="A1669:B1669"/>
    <mergeCell ref="C1669:E1669"/>
    <mergeCell ref="A1660:B1660"/>
    <mergeCell ref="C1660:E1660"/>
    <mergeCell ref="A1661:B1661"/>
    <mergeCell ref="C1661:E1661"/>
    <mergeCell ref="A1662:B1662"/>
    <mergeCell ref="C1662:E1662"/>
    <mergeCell ref="A1663:B1663"/>
    <mergeCell ref="C1663:E1663"/>
    <mergeCell ref="A1664:B1664"/>
    <mergeCell ref="C1664:E1664"/>
    <mergeCell ref="A1655:B1655"/>
    <mergeCell ref="C1655:E1655"/>
    <mergeCell ref="A1656:B1656"/>
    <mergeCell ref="C1656:E1656"/>
    <mergeCell ref="A1657:B1657"/>
    <mergeCell ref="C1657:E1657"/>
    <mergeCell ref="A1658:B1658"/>
    <mergeCell ref="C1658:E1658"/>
    <mergeCell ref="A1659:B1659"/>
    <mergeCell ref="C1659:E1659"/>
    <mergeCell ref="A1650:B1650"/>
    <mergeCell ref="C1650:E1650"/>
    <mergeCell ref="A1651:B1651"/>
    <mergeCell ref="C1651:E1651"/>
    <mergeCell ref="A1652:B1652"/>
    <mergeCell ref="C1652:E1652"/>
    <mergeCell ref="A1653:B1653"/>
    <mergeCell ref="C1653:E1653"/>
    <mergeCell ref="A1654:B1654"/>
    <mergeCell ref="C1654:E1654"/>
    <mergeCell ref="A1645:B1645"/>
    <mergeCell ref="C1645:E1645"/>
    <mergeCell ref="A1646:B1646"/>
    <mergeCell ref="C1646:E1646"/>
    <mergeCell ref="A1647:B1647"/>
    <mergeCell ref="C1647:E1647"/>
    <mergeCell ref="A1648:B1648"/>
    <mergeCell ref="C1648:E1648"/>
    <mergeCell ref="A1649:B1649"/>
    <mergeCell ref="C1649:E1649"/>
    <mergeCell ref="A1640:B1640"/>
    <mergeCell ref="C1640:E1640"/>
    <mergeCell ref="A1641:B1641"/>
    <mergeCell ref="C1641:E1641"/>
    <mergeCell ref="A1642:B1642"/>
    <mergeCell ref="C1642:E1642"/>
    <mergeCell ref="A1643:B1643"/>
    <mergeCell ref="C1643:E1643"/>
    <mergeCell ref="A1644:B1644"/>
    <mergeCell ref="C1644:E1644"/>
    <mergeCell ref="A1635:B1635"/>
    <mergeCell ref="C1635:E1635"/>
    <mergeCell ref="A1636:B1636"/>
    <mergeCell ref="C1636:E1636"/>
    <mergeCell ref="A1637:B1637"/>
    <mergeCell ref="C1637:E1637"/>
    <mergeCell ref="A1638:B1638"/>
    <mergeCell ref="C1638:E1638"/>
    <mergeCell ref="A1639:B1639"/>
    <mergeCell ref="C1639:E1639"/>
    <mergeCell ref="A1630:B1630"/>
    <mergeCell ref="C1630:E1630"/>
    <mergeCell ref="A1631:B1631"/>
    <mergeCell ref="C1631:E1631"/>
    <mergeCell ref="A1632:B1632"/>
    <mergeCell ref="C1632:E1632"/>
    <mergeCell ref="A1633:B1633"/>
    <mergeCell ref="C1633:E1633"/>
    <mergeCell ref="A1634:B1634"/>
    <mergeCell ref="C1634:E1634"/>
    <mergeCell ref="A1625:B1625"/>
    <mergeCell ref="C1625:E1625"/>
    <mergeCell ref="A1626:B1626"/>
    <mergeCell ref="C1626:E1626"/>
    <mergeCell ref="A1627:B1627"/>
    <mergeCell ref="C1627:E1627"/>
    <mergeCell ref="A1628:B1628"/>
    <mergeCell ref="C1628:E1628"/>
    <mergeCell ref="A1629:B1629"/>
    <mergeCell ref="C1629:E1629"/>
    <mergeCell ref="A1620:B1620"/>
    <mergeCell ref="C1620:E1620"/>
    <mergeCell ref="A1621:B1621"/>
    <mergeCell ref="C1621:E1621"/>
    <mergeCell ref="A1622:B1622"/>
    <mergeCell ref="C1622:E1622"/>
    <mergeCell ref="A1623:B1623"/>
    <mergeCell ref="C1623:E1623"/>
    <mergeCell ref="A1624:B1624"/>
    <mergeCell ref="C1624:E1624"/>
    <mergeCell ref="A1615:B1615"/>
    <mergeCell ref="C1615:E1615"/>
    <mergeCell ref="A1616:B1616"/>
    <mergeCell ref="C1616:E1616"/>
    <mergeCell ref="A1617:B1617"/>
    <mergeCell ref="C1617:E1617"/>
    <mergeCell ref="A1618:B1618"/>
    <mergeCell ref="C1618:E1618"/>
    <mergeCell ref="A1619:B1619"/>
    <mergeCell ref="C1619:E1619"/>
    <mergeCell ref="A1610:B1610"/>
    <mergeCell ref="C1610:E1610"/>
    <mergeCell ref="A1611:B1611"/>
    <mergeCell ref="C1611:E1611"/>
    <mergeCell ref="A1612:B1612"/>
    <mergeCell ref="C1612:E1612"/>
    <mergeCell ref="A1613:B1613"/>
    <mergeCell ref="C1613:E1613"/>
    <mergeCell ref="A1614:B1614"/>
    <mergeCell ref="C1614:E1614"/>
    <mergeCell ref="A1605:B1605"/>
    <mergeCell ref="C1605:E1605"/>
    <mergeCell ref="A1606:B1606"/>
    <mergeCell ref="C1606:E1606"/>
    <mergeCell ref="A1607:B1607"/>
    <mergeCell ref="C1607:E1607"/>
    <mergeCell ref="A1608:B1608"/>
    <mergeCell ref="C1608:E1608"/>
    <mergeCell ref="A1609:B1609"/>
    <mergeCell ref="C1609:E1609"/>
    <mergeCell ref="A1600:B1600"/>
    <mergeCell ref="C1600:E1600"/>
    <mergeCell ref="A1601:B1601"/>
    <mergeCell ref="C1601:E1601"/>
    <mergeCell ref="A1602:B1602"/>
    <mergeCell ref="C1602:E1602"/>
    <mergeCell ref="A1603:B1603"/>
    <mergeCell ref="C1603:E1603"/>
    <mergeCell ref="A1604:B1604"/>
    <mergeCell ref="C1604:E1604"/>
    <mergeCell ref="A1595:B1595"/>
    <mergeCell ref="C1595:E1595"/>
    <mergeCell ref="A1596:B1596"/>
    <mergeCell ref="C1596:E1596"/>
    <mergeCell ref="A1597:B1597"/>
    <mergeCell ref="C1597:E1597"/>
    <mergeCell ref="A1598:B1598"/>
    <mergeCell ref="C1598:E1598"/>
    <mergeCell ref="A1599:B1599"/>
    <mergeCell ref="C1599:E1599"/>
    <mergeCell ref="A1590:B1590"/>
    <mergeCell ref="C1590:E1590"/>
    <mergeCell ref="A1591:B1591"/>
    <mergeCell ref="C1591:E1591"/>
    <mergeCell ref="A1592:B1592"/>
    <mergeCell ref="C1592:E1592"/>
    <mergeCell ref="A1593:B1593"/>
    <mergeCell ref="C1593:E1593"/>
    <mergeCell ref="A1594:B1594"/>
    <mergeCell ref="C1594:E1594"/>
    <mergeCell ref="A1585:B1585"/>
    <mergeCell ref="C1585:E1585"/>
    <mergeCell ref="A1586:B1586"/>
    <mergeCell ref="C1586:E1586"/>
    <mergeCell ref="A1587:B1587"/>
    <mergeCell ref="C1587:E1587"/>
    <mergeCell ref="A1588:B1588"/>
    <mergeCell ref="C1588:E1588"/>
    <mergeCell ref="A1589:B1589"/>
    <mergeCell ref="C1589:E1589"/>
    <mergeCell ref="A1580:B1580"/>
    <mergeCell ref="C1580:E1580"/>
    <mergeCell ref="A1581:B1581"/>
    <mergeCell ref="C1581:E1581"/>
    <mergeCell ref="A1582:B1582"/>
    <mergeCell ref="C1582:E1582"/>
    <mergeCell ref="A1583:B1583"/>
    <mergeCell ref="C1583:E1583"/>
    <mergeCell ref="A1584:B1584"/>
    <mergeCell ref="C1584:E1584"/>
    <mergeCell ref="A1575:B1575"/>
    <mergeCell ref="C1575:E1575"/>
    <mergeCell ref="A1576:B1576"/>
    <mergeCell ref="C1576:E1576"/>
    <mergeCell ref="A1577:B1577"/>
    <mergeCell ref="C1577:E1577"/>
    <mergeCell ref="A1578:B1578"/>
    <mergeCell ref="C1578:E1578"/>
    <mergeCell ref="A1579:B1579"/>
    <mergeCell ref="C1579:E1579"/>
    <mergeCell ref="A1570:B1570"/>
    <mergeCell ref="C1570:E1570"/>
    <mergeCell ref="A1571:B1571"/>
    <mergeCell ref="C1571:E1571"/>
    <mergeCell ref="A1572:B1572"/>
    <mergeCell ref="C1572:E1572"/>
    <mergeCell ref="A1573:B1573"/>
    <mergeCell ref="C1573:E1573"/>
    <mergeCell ref="A1574:B1574"/>
    <mergeCell ref="C1574:E1574"/>
    <mergeCell ref="A1565:B1565"/>
    <mergeCell ref="C1565:E1565"/>
    <mergeCell ref="A1566:B1566"/>
    <mergeCell ref="C1566:E1566"/>
    <mergeCell ref="A1567:B1567"/>
    <mergeCell ref="C1567:E1567"/>
    <mergeCell ref="A1568:B1568"/>
    <mergeCell ref="C1568:E1568"/>
    <mergeCell ref="A1569:B1569"/>
    <mergeCell ref="C1569:E1569"/>
    <mergeCell ref="A1560:B1560"/>
    <mergeCell ref="C1560:E1560"/>
    <mergeCell ref="A1561:B1561"/>
    <mergeCell ref="C1561:E1561"/>
    <mergeCell ref="A1562:B1562"/>
    <mergeCell ref="C1562:E1562"/>
    <mergeCell ref="A1563:B1563"/>
    <mergeCell ref="C1563:E1563"/>
    <mergeCell ref="A1564:B1564"/>
    <mergeCell ref="C1564:E1564"/>
    <mergeCell ref="A1555:B1555"/>
    <mergeCell ref="C1555:E1555"/>
    <mergeCell ref="A1556:B1556"/>
    <mergeCell ref="C1556:E1556"/>
    <mergeCell ref="A1557:B1557"/>
    <mergeCell ref="C1557:E1557"/>
    <mergeCell ref="A1558:B1558"/>
    <mergeCell ref="C1558:E1558"/>
    <mergeCell ref="A1559:B1559"/>
    <mergeCell ref="C1559:E1559"/>
    <mergeCell ref="A1550:B1550"/>
    <mergeCell ref="C1550:E1550"/>
    <mergeCell ref="A1551:B1551"/>
    <mergeCell ref="C1551:E1551"/>
    <mergeCell ref="A1552:B1552"/>
    <mergeCell ref="C1552:E1552"/>
    <mergeCell ref="A1553:B1553"/>
    <mergeCell ref="C1553:E1553"/>
    <mergeCell ref="A1554:B1554"/>
    <mergeCell ref="C1554:E1554"/>
    <mergeCell ref="A1545:B1545"/>
    <mergeCell ref="C1545:E1545"/>
    <mergeCell ref="A1546:B1546"/>
    <mergeCell ref="C1546:E1546"/>
    <mergeCell ref="A1547:B1547"/>
    <mergeCell ref="C1547:E1547"/>
    <mergeCell ref="A1548:B1548"/>
    <mergeCell ref="C1548:E1548"/>
    <mergeCell ref="A1549:B1549"/>
    <mergeCell ref="C1549:E1549"/>
    <mergeCell ref="A1540:B1540"/>
    <mergeCell ref="C1540:E1540"/>
    <mergeCell ref="A1541:B1541"/>
    <mergeCell ref="C1541:E1541"/>
    <mergeCell ref="A1542:B1542"/>
    <mergeCell ref="C1542:E1542"/>
    <mergeCell ref="A1543:B1543"/>
    <mergeCell ref="C1543:E1543"/>
    <mergeCell ref="A1544:B1544"/>
    <mergeCell ref="C1544:E1544"/>
    <mergeCell ref="A1535:B1535"/>
    <mergeCell ref="C1535:E1535"/>
    <mergeCell ref="A1536:B1536"/>
    <mergeCell ref="C1536:E1536"/>
    <mergeCell ref="A1537:B1537"/>
    <mergeCell ref="C1537:E1537"/>
    <mergeCell ref="A1538:B1538"/>
    <mergeCell ref="C1538:E1538"/>
    <mergeCell ref="A1539:B1539"/>
    <mergeCell ref="C1539:E1539"/>
    <mergeCell ref="A1530:B1530"/>
    <mergeCell ref="C1530:E1530"/>
    <mergeCell ref="A1531:B1531"/>
    <mergeCell ref="C1531:E1531"/>
    <mergeCell ref="A1532:B1532"/>
    <mergeCell ref="C1532:E1532"/>
    <mergeCell ref="A1533:B1533"/>
    <mergeCell ref="C1533:E1533"/>
    <mergeCell ref="A1534:B1534"/>
    <mergeCell ref="C1534:E1534"/>
    <mergeCell ref="A1525:B1525"/>
    <mergeCell ref="C1525:E1525"/>
    <mergeCell ref="A1526:B1526"/>
    <mergeCell ref="C1526:E1526"/>
    <mergeCell ref="A1527:B1527"/>
    <mergeCell ref="C1527:E1527"/>
    <mergeCell ref="A1528:B1528"/>
    <mergeCell ref="C1528:E1528"/>
    <mergeCell ref="A1529:B1529"/>
    <mergeCell ref="C1529:E1529"/>
    <mergeCell ref="A1520:B1520"/>
    <mergeCell ref="C1520:E1520"/>
    <mergeCell ref="A1521:B1521"/>
    <mergeCell ref="C1521:E1521"/>
    <mergeCell ref="A1522:B1522"/>
    <mergeCell ref="C1522:E1522"/>
    <mergeCell ref="A1523:B1523"/>
    <mergeCell ref="C1523:E1523"/>
    <mergeCell ref="A1524:B1524"/>
    <mergeCell ref="C1524:E1524"/>
    <mergeCell ref="A1515:B1515"/>
    <mergeCell ref="C1515:E1515"/>
    <mergeCell ref="A1516:B1516"/>
    <mergeCell ref="C1516:E1516"/>
    <mergeCell ref="A1517:B1517"/>
    <mergeCell ref="C1517:E1517"/>
    <mergeCell ref="A1518:B1518"/>
    <mergeCell ref="C1518:E1518"/>
    <mergeCell ref="A1519:B1519"/>
    <mergeCell ref="C1519:E1519"/>
    <mergeCell ref="A1510:B1510"/>
    <mergeCell ref="C1510:E1510"/>
    <mergeCell ref="A1511:B1511"/>
    <mergeCell ref="C1511:E1511"/>
    <mergeCell ref="A1512:B1512"/>
    <mergeCell ref="C1512:E1512"/>
    <mergeCell ref="A1513:B1513"/>
    <mergeCell ref="C1513:E1513"/>
    <mergeCell ref="A1514:B1514"/>
    <mergeCell ref="C1514:E1514"/>
    <mergeCell ref="A1505:B1505"/>
    <mergeCell ref="C1505:E1505"/>
    <mergeCell ref="A1506:B1506"/>
    <mergeCell ref="C1506:E1506"/>
    <mergeCell ref="A1507:B1507"/>
    <mergeCell ref="C1507:E1507"/>
    <mergeCell ref="A1508:B1508"/>
    <mergeCell ref="C1508:E1508"/>
    <mergeCell ref="A1509:B1509"/>
    <mergeCell ref="C1509:E1509"/>
    <mergeCell ref="A1500:B1500"/>
    <mergeCell ref="C1500:E1500"/>
    <mergeCell ref="A1501:B1501"/>
    <mergeCell ref="C1501:E1501"/>
    <mergeCell ref="A1502:B1502"/>
    <mergeCell ref="C1502:E1502"/>
    <mergeCell ref="A1503:B1503"/>
    <mergeCell ref="C1503:E1503"/>
    <mergeCell ref="A1504:B1504"/>
    <mergeCell ref="C1504:E1504"/>
    <mergeCell ref="A1495:B1495"/>
    <mergeCell ref="C1495:E1495"/>
    <mergeCell ref="A1496:B1496"/>
    <mergeCell ref="C1496:E1496"/>
    <mergeCell ref="A1497:B1497"/>
    <mergeCell ref="C1497:E1497"/>
    <mergeCell ref="A1498:B1498"/>
    <mergeCell ref="C1498:E1498"/>
    <mergeCell ref="A1499:B1499"/>
    <mergeCell ref="C1499:E1499"/>
    <mergeCell ref="A1:E1"/>
    <mergeCell ref="F1:I5"/>
    <mergeCell ref="J1:O1"/>
    <mergeCell ref="A2:E2"/>
    <mergeCell ref="J2:O5"/>
    <mergeCell ref="A3:E3"/>
    <mergeCell ref="A4:E4"/>
    <mergeCell ref="A5:E5"/>
    <mergeCell ref="A1493:B1493"/>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2024-05-07T20:45:18Z</dcterms:modified>
</cp:coreProperties>
</file>